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slicers/slicer1.xml" ContentType="application/vnd.ms-excel.slicer+xml"/>
  <Override PartName="/xl/comments1.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4.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hidePivotFieldList="1" defaultThemeVersion="166925"/>
  <mc:AlternateContent xmlns:mc="http://schemas.openxmlformats.org/markup-compatibility/2006">
    <mc:Choice Requires="x15">
      <x15ac:absPath xmlns:x15ac="http://schemas.microsoft.com/office/spreadsheetml/2010/11/ac" url="\\Truenas\lg\Content\Sangita_Dey\1. Content\1. Course\CFA L1\Performance Tracker\2025\Student Version\"/>
    </mc:Choice>
  </mc:AlternateContent>
  <xr:revisionPtr revIDLastSave="0" documentId="8_{34BB7411-B70F-489E-B258-7B19D41150CF}" xr6:coauthVersionLast="47" xr6:coauthVersionMax="47" xr10:uidLastSave="{00000000-0000-0000-0000-000000000000}"/>
  <bookViews>
    <workbookView xWindow="-120" yWindow="-120" windowWidth="29040" windowHeight="15720" tabRatio="765" xr2:uid="{00000000-000D-0000-FFFF-FFFF00000000}"/>
  </bookViews>
  <sheets>
    <sheet name="📝 Instructions" sheetId="1" r:id="rId1"/>
    <sheet name="⏱ Input" sheetId="2" r:id="rId2"/>
    <sheet name="📊 Progress" sheetId="5" r:id="rId3"/>
    <sheet name="📊 Summary" sheetId="10" r:id="rId4"/>
    <sheet name="Working" sheetId="8" state="veryHidden" r:id="rId5"/>
  </sheets>
  <definedNames>
    <definedName name="Message">CONCATENATE('📝 Instructions'!XER1048576,", you have ",CHAR(10),Working!XER12," days to complete ",Working!XER10," chapters &amp; ",TEXT(Working!XER15,"[h]")," hrs of lectures.",CHAR(10),"For this you must study for ",TEXT(Working!XEO29,"[h]:mm")," hrs and ",TEXT(Working!XEO30,"[h]:mm")," hrs respectively on weekdays &amp; weekends.")</definedName>
    <definedName name="_xlnm.Print_Area" localSheetId="2">'📊 Progress'!$C$2:$O$3</definedName>
    <definedName name="_xlnm.Print_Area" localSheetId="3">'📊 Summary'!$B$1:$W$47</definedName>
    <definedName name="Risk_Tolerance">#REF!</definedName>
    <definedName name="Slicer_Subject">#N/A</definedName>
    <definedName name="Start_Date">#REF!</definedName>
    <definedName name="valuevx">42.314159</definedName>
    <definedName name="vertex42_copyright" hidden="1">"© 2017 Vertex42 LLC"</definedName>
    <definedName name="vertex42_id" hidden="1">"bubble-chart-timeline.xlsx"</definedName>
    <definedName name="vertex42_title" hidden="1">"Bubble Chart Timeline Template"</definedName>
  </definedNames>
  <calcPr calcId="191029"/>
  <pivotCaches>
    <pivotCache cacheId="10" r:id="rId6"/>
  </pivotCaches>
  <fileRecoveryPr autoRecover="0"/>
  <extLst>
    <ext xmlns:x14="http://schemas.microsoft.com/office/spreadsheetml/2009/9/main" uri="{BBE1A952-AA13-448e-AADC-164F8A28A991}">
      <x14:slicerCaches>
        <x14:slicerCache r:id="rId7"/>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7" i="8" l="1"/>
  <c r="D16" i="8"/>
  <c r="D22" i="8" s="1"/>
  <c r="F16" i="8"/>
  <c r="G16" i="8" s="1"/>
  <c r="AL21" i="2"/>
  <c r="AL22" i="2"/>
  <c r="AL23" i="2"/>
  <c r="AL24" i="2"/>
  <c r="AL25" i="2"/>
  <c r="AL26" i="2"/>
  <c r="AL27" i="2"/>
  <c r="AL28" i="2"/>
  <c r="AL29" i="2"/>
  <c r="AL30" i="2"/>
  <c r="AL31" i="2"/>
  <c r="AL32" i="2"/>
  <c r="AL33" i="2"/>
  <c r="AL34" i="2"/>
  <c r="AL35" i="2"/>
  <c r="AL36" i="2"/>
  <c r="AL37" i="2"/>
  <c r="AL38" i="2"/>
  <c r="AL39" i="2"/>
  <c r="AL40" i="2"/>
  <c r="AL41" i="2"/>
  <c r="AL42" i="2"/>
  <c r="AL10" i="2"/>
  <c r="AL11" i="2"/>
  <c r="AL12" i="2"/>
  <c r="AL13" i="2"/>
  <c r="AL14" i="2"/>
  <c r="AL15" i="2"/>
  <c r="AL16" i="2"/>
  <c r="AL17" i="2"/>
  <c r="AL18" i="2"/>
  <c r="AL19" i="2"/>
  <c r="AL20" i="2"/>
  <c r="AL43" i="2"/>
  <c r="AL44" i="2"/>
  <c r="AL45" i="2"/>
  <c r="AL46" i="2"/>
  <c r="AL47" i="2"/>
  <c r="AL48" i="2"/>
  <c r="AL49" i="2"/>
  <c r="AL50" i="2"/>
  <c r="AL51" i="2"/>
  <c r="AL52" i="2"/>
  <c r="AL53" i="2"/>
  <c r="AL54" i="2"/>
  <c r="AL59" i="2"/>
  <c r="AL60" i="2"/>
  <c r="AL61" i="2"/>
  <c r="AL55" i="2"/>
  <c r="AL56" i="2"/>
  <c r="AL57" i="2"/>
  <c r="AL58" i="2"/>
  <c r="AL62" i="2"/>
  <c r="AL63" i="2"/>
  <c r="AL64" i="2"/>
  <c r="AL65" i="2"/>
  <c r="AL66" i="2"/>
  <c r="AL67" i="2"/>
  <c r="AL68" i="2"/>
  <c r="AL69" i="2"/>
  <c r="AL70" i="2"/>
  <c r="AL71" i="2"/>
  <c r="AL72" i="2"/>
  <c r="AL73" i="2"/>
  <c r="AL74" i="2"/>
  <c r="AL75" i="2"/>
  <c r="AL76" i="2"/>
  <c r="AL77" i="2"/>
  <c r="AL78" i="2"/>
  <c r="AL79" i="2"/>
  <c r="AL80" i="2"/>
  <c r="AL81" i="2"/>
  <c r="AL82" i="2"/>
  <c r="AL83" i="2"/>
  <c r="AL84" i="2"/>
  <c r="AL9" i="2"/>
  <c r="G57" i="2"/>
  <c r="AG57" i="2"/>
  <c r="AH57" i="2"/>
  <c r="AI57" i="2" s="1"/>
  <c r="AJ57" i="2"/>
  <c r="AK57" i="2"/>
  <c r="G58" i="2"/>
  <c r="AG58" i="2"/>
  <c r="AH58" i="2"/>
  <c r="AI58" i="2" s="1"/>
  <c r="AJ58" i="2"/>
  <c r="AK58" i="2"/>
  <c r="AG44" i="2"/>
  <c r="AH44" i="2"/>
  <c r="AI44" i="2" s="1"/>
  <c r="AJ44" i="2"/>
  <c r="AK44" i="2"/>
  <c r="G44" i="2"/>
  <c r="D33" i="5"/>
  <c r="E33" i="5"/>
  <c r="F33" i="5"/>
  <c r="R33" i="5" s="1"/>
  <c r="G33" i="5"/>
  <c r="H33" i="5"/>
  <c r="I33" i="5"/>
  <c r="J33" i="5"/>
  <c r="K33" i="5"/>
  <c r="L33" i="5"/>
  <c r="M33" i="5"/>
  <c r="O33" i="5"/>
  <c r="Y33" i="5"/>
  <c r="M42" i="5"/>
  <c r="L42" i="5"/>
  <c r="K42" i="5"/>
  <c r="J42" i="5"/>
  <c r="U42" i="5" s="1"/>
  <c r="AF42" i="5" s="1"/>
  <c r="I42" i="5"/>
  <c r="H42" i="5"/>
  <c r="G42" i="5"/>
  <c r="F42" i="5"/>
  <c r="M41" i="5"/>
  <c r="L41" i="5"/>
  <c r="K41" i="5"/>
  <c r="J41" i="5"/>
  <c r="I41" i="5"/>
  <c r="H41" i="5"/>
  <c r="G41" i="5"/>
  <c r="F41" i="5"/>
  <c r="M40" i="5"/>
  <c r="L40" i="5"/>
  <c r="K40" i="5"/>
  <c r="J40" i="5"/>
  <c r="I40" i="5"/>
  <c r="H40" i="5"/>
  <c r="G40" i="5"/>
  <c r="F40" i="5"/>
  <c r="R40" i="5" s="1"/>
  <c r="M39" i="5"/>
  <c r="L39" i="5"/>
  <c r="K39" i="5"/>
  <c r="J39" i="5"/>
  <c r="I39" i="5"/>
  <c r="H39" i="5"/>
  <c r="G39" i="5"/>
  <c r="F39" i="5"/>
  <c r="R39" i="5" s="1"/>
  <c r="M38" i="5"/>
  <c r="L38" i="5"/>
  <c r="K38" i="5"/>
  <c r="J38" i="5"/>
  <c r="I38" i="5"/>
  <c r="H38" i="5"/>
  <c r="G38" i="5"/>
  <c r="F38" i="5"/>
  <c r="R38" i="5" s="1"/>
  <c r="M37" i="5"/>
  <c r="L37" i="5"/>
  <c r="K37" i="5"/>
  <c r="J37" i="5"/>
  <c r="I37" i="5"/>
  <c r="H37" i="5"/>
  <c r="G37" i="5"/>
  <c r="P37" i="5" s="1"/>
  <c r="F37" i="5"/>
  <c r="R37" i="5" s="1"/>
  <c r="M36" i="5"/>
  <c r="L36" i="5"/>
  <c r="K36" i="5"/>
  <c r="J36" i="5"/>
  <c r="I36" i="5"/>
  <c r="H36" i="5"/>
  <c r="G36" i="5"/>
  <c r="F36" i="5"/>
  <c r="R36" i="5" s="1"/>
  <c r="M35" i="5"/>
  <c r="L35" i="5"/>
  <c r="K35" i="5"/>
  <c r="J35" i="5"/>
  <c r="I35" i="5"/>
  <c r="H35" i="5"/>
  <c r="G35" i="5"/>
  <c r="F35" i="5"/>
  <c r="R35" i="5" s="1"/>
  <c r="M34" i="5"/>
  <c r="L34" i="5"/>
  <c r="K34" i="5"/>
  <c r="J34" i="5"/>
  <c r="I34" i="5"/>
  <c r="H34" i="5"/>
  <c r="H43" i="5" s="1"/>
  <c r="G34" i="5"/>
  <c r="F34" i="5"/>
  <c r="R34" i="5" s="1"/>
  <c r="O42" i="5"/>
  <c r="O41" i="5"/>
  <c r="O40" i="5"/>
  <c r="O39" i="5"/>
  <c r="O38" i="5"/>
  <c r="Q38" i="5" s="1"/>
  <c r="O37" i="5"/>
  <c r="O36" i="5"/>
  <c r="O35" i="5"/>
  <c r="O34" i="5"/>
  <c r="AD5" i="2"/>
  <c r="AC5" i="2"/>
  <c r="AB5" i="2"/>
  <c r="AA5" i="2"/>
  <c r="Z5" i="2"/>
  <c r="Y5" i="2"/>
  <c r="X5" i="2"/>
  <c r="W5" i="2"/>
  <c r="V5" i="2"/>
  <c r="AD4" i="2"/>
  <c r="AC4" i="2"/>
  <c r="AB4" i="2"/>
  <c r="AA4" i="2"/>
  <c r="Z4" i="2"/>
  <c r="Y4" i="2"/>
  <c r="X4" i="2"/>
  <c r="W4" i="2"/>
  <c r="V4" i="2"/>
  <c r="C16" i="8" s="1"/>
  <c r="Y34" i="5"/>
  <c r="Y35" i="5"/>
  <c r="Y36" i="5"/>
  <c r="Y37" i="5"/>
  <c r="Y38" i="5"/>
  <c r="Y39" i="5"/>
  <c r="Y40" i="5"/>
  <c r="Y41" i="5"/>
  <c r="E37" i="5"/>
  <c r="E35" i="5"/>
  <c r="E34" i="5"/>
  <c r="D35" i="5"/>
  <c r="D36" i="5"/>
  <c r="D37" i="5"/>
  <c r="D34" i="5"/>
  <c r="G25" i="2"/>
  <c r="G18" i="2"/>
  <c r="AH25" i="2"/>
  <c r="AI25" i="2" s="1"/>
  <c r="AH18" i="2"/>
  <c r="AI18" i="2" s="1"/>
  <c r="AJ25" i="2"/>
  <c r="AJ18" i="2"/>
  <c r="AK25" i="2"/>
  <c r="AK18" i="2"/>
  <c r="AG25" i="2"/>
  <c r="AG18" i="2"/>
  <c r="AG15" i="2"/>
  <c r="AG33" i="2"/>
  <c r="AG51" i="2"/>
  <c r="AG59" i="2"/>
  <c r="AG60" i="2"/>
  <c r="AG61" i="2"/>
  <c r="AG43" i="2"/>
  <c r="AG45" i="2"/>
  <c r="AG52" i="2"/>
  <c r="AG47" i="2"/>
  <c r="AG48" i="2"/>
  <c r="AG50" i="2"/>
  <c r="AG49" i="2"/>
  <c r="AG13" i="2"/>
  <c r="AG14" i="2"/>
  <c r="AG55" i="2"/>
  <c r="AG10" i="2"/>
  <c r="AG11" i="2"/>
  <c r="AG12" i="2"/>
  <c r="AG16" i="2"/>
  <c r="AG19" i="2"/>
  <c r="AG21" i="2"/>
  <c r="AG72" i="2"/>
  <c r="AG20" i="2"/>
  <c r="AG22" i="2"/>
  <c r="AG31" i="2"/>
  <c r="AG24" i="2"/>
  <c r="AG27" i="2"/>
  <c r="AG26" i="2"/>
  <c r="AG28" i="2"/>
  <c r="AG29" i="2"/>
  <c r="AG35" i="2"/>
  <c r="AG38" i="2"/>
  <c r="AG40" i="2"/>
  <c r="AG62" i="2"/>
  <c r="G15" i="2"/>
  <c r="G33" i="2"/>
  <c r="G51" i="2"/>
  <c r="G59" i="2"/>
  <c r="G60" i="2"/>
  <c r="G61" i="2"/>
  <c r="G43" i="2"/>
  <c r="G45" i="2"/>
  <c r="G52" i="2"/>
  <c r="G47" i="2"/>
  <c r="G48" i="2"/>
  <c r="G50" i="2"/>
  <c r="G49" i="2"/>
  <c r="G13" i="2"/>
  <c r="G14" i="2"/>
  <c r="G55" i="2"/>
  <c r="AH15" i="2"/>
  <c r="AI15" i="2" s="1"/>
  <c r="AH33" i="2"/>
  <c r="AI33" i="2" s="1"/>
  <c r="AH51" i="2"/>
  <c r="AI51" i="2" s="1"/>
  <c r="AH59" i="2"/>
  <c r="AI59" i="2"/>
  <c r="AH60" i="2"/>
  <c r="AI60" i="2" s="1"/>
  <c r="AH61" i="2"/>
  <c r="AI61" i="2" s="1"/>
  <c r="AH43" i="2"/>
  <c r="AI43" i="2" s="1"/>
  <c r="AH45" i="2"/>
  <c r="AI45" i="2" s="1"/>
  <c r="AH52" i="2"/>
  <c r="AI52" i="2" s="1"/>
  <c r="AH47" i="2"/>
  <c r="AI47" i="2" s="1"/>
  <c r="AH48" i="2"/>
  <c r="AI48" i="2" s="1"/>
  <c r="AH50" i="2"/>
  <c r="AI50" i="2" s="1"/>
  <c r="AH49" i="2"/>
  <c r="AI49" i="2" s="1"/>
  <c r="AH13" i="2"/>
  <c r="AI13" i="2" s="1"/>
  <c r="AH14" i="2"/>
  <c r="AI14" i="2" s="1"/>
  <c r="AH55" i="2"/>
  <c r="AI55" i="2" s="1"/>
  <c r="AJ15" i="2"/>
  <c r="AJ33" i="2"/>
  <c r="AJ51" i="2"/>
  <c r="AJ59" i="2"/>
  <c r="AJ60" i="2"/>
  <c r="AJ61" i="2"/>
  <c r="AJ43" i="2"/>
  <c r="AJ45" i="2"/>
  <c r="AJ52" i="2"/>
  <c r="AJ47" i="2"/>
  <c r="AJ48" i="2"/>
  <c r="AJ50" i="2"/>
  <c r="AJ49" i="2"/>
  <c r="AJ13" i="2"/>
  <c r="AJ14" i="2"/>
  <c r="AJ55" i="2"/>
  <c r="AK15" i="2"/>
  <c r="AK33" i="2"/>
  <c r="AK51" i="2"/>
  <c r="AK59" i="2"/>
  <c r="AK60" i="2"/>
  <c r="AK61" i="2"/>
  <c r="AK43" i="2"/>
  <c r="AK45" i="2"/>
  <c r="AK52" i="2"/>
  <c r="AK47" i="2"/>
  <c r="AK48" i="2"/>
  <c r="AK50" i="2"/>
  <c r="AK49" i="2"/>
  <c r="AK13" i="2"/>
  <c r="AK14" i="2"/>
  <c r="AK55" i="2"/>
  <c r="P38" i="5"/>
  <c r="C10" i="8"/>
  <c r="F18" i="8" s="1"/>
  <c r="F21" i="8"/>
  <c r="C39" i="8" s="1"/>
  <c r="D21" i="8"/>
  <c r="D18" i="8"/>
  <c r="D17" i="8" s="1"/>
  <c r="C18" i="8"/>
  <c r="C17" i="8" s="1"/>
  <c r="T4" i="2"/>
  <c r="U73" i="2" s="1"/>
  <c r="G24" i="2"/>
  <c r="G27" i="2"/>
  <c r="G26" i="2"/>
  <c r="G40" i="2"/>
  <c r="G62" i="2"/>
  <c r="G28" i="2"/>
  <c r="G29" i="2"/>
  <c r="G63" i="2"/>
  <c r="G68" i="2"/>
  <c r="G67" i="2"/>
  <c r="G35" i="2"/>
  <c r="G38" i="2"/>
  <c r="G80" i="2"/>
  <c r="G83" i="2"/>
  <c r="G81" i="2"/>
  <c r="G82" i="2"/>
  <c r="G64" i="2"/>
  <c r="G77" i="2"/>
  <c r="G76" i="2"/>
  <c r="G84" i="2"/>
  <c r="G70" i="2"/>
  <c r="G73" i="2"/>
  <c r="G75" i="2"/>
  <c r="G34" i="2"/>
  <c r="G71" i="2"/>
  <c r="G9" i="2"/>
  <c r="G65" i="2"/>
  <c r="G69" i="2"/>
  <c r="G37" i="2"/>
  <c r="G39" i="2"/>
  <c r="G22" i="2"/>
  <c r="G30" i="2"/>
  <c r="G46" i="2"/>
  <c r="G42" i="2"/>
  <c r="G78" i="2"/>
  <c r="G36" i="2"/>
  <c r="G66" i="2"/>
  <c r="G74" i="2"/>
  <c r="G41" i="2"/>
  <c r="G31" i="2"/>
  <c r="G79" i="2"/>
  <c r="G17" i="2"/>
  <c r="G54" i="2"/>
  <c r="G56" i="2"/>
  <c r="G32" i="2"/>
  <c r="G53" i="2"/>
  <c r="G23" i="2"/>
  <c r="G10" i="2"/>
  <c r="G11" i="2"/>
  <c r="G12" i="2"/>
  <c r="G16" i="2"/>
  <c r="G19" i="2"/>
  <c r="G21" i="2"/>
  <c r="G72" i="2"/>
  <c r="G20" i="2"/>
  <c r="T5" i="2"/>
  <c r="D54" i="8" s="1"/>
  <c r="AH10" i="2"/>
  <c r="AI10" i="2" s="1"/>
  <c r="AH11" i="2"/>
  <c r="AI11" i="2" s="1"/>
  <c r="AH12" i="2"/>
  <c r="AI12" i="2" s="1"/>
  <c r="AH16" i="2"/>
  <c r="AI16" i="2" s="1"/>
  <c r="AH19" i="2"/>
  <c r="AI19" i="2" s="1"/>
  <c r="AH21" i="2"/>
  <c r="AI21" i="2" s="1"/>
  <c r="AH72" i="2"/>
  <c r="AI72" i="2" s="1"/>
  <c r="AH20" i="2"/>
  <c r="AI20" i="2" s="1"/>
  <c r="AJ10" i="2"/>
  <c r="AJ11" i="2"/>
  <c r="AJ12" i="2"/>
  <c r="AJ16" i="2"/>
  <c r="AJ19" i="2"/>
  <c r="AJ21" i="2"/>
  <c r="AJ72" i="2"/>
  <c r="AJ20" i="2"/>
  <c r="AK10" i="2"/>
  <c r="AK11" i="2"/>
  <c r="AK12" i="2"/>
  <c r="AK16" i="2"/>
  <c r="AK19" i="2"/>
  <c r="AK21" i="2"/>
  <c r="AK72" i="2"/>
  <c r="AK20" i="2"/>
  <c r="AG63" i="2"/>
  <c r="AG68" i="2"/>
  <c r="AG67" i="2"/>
  <c r="AG84" i="2"/>
  <c r="AG80" i="2"/>
  <c r="AG83" i="2"/>
  <c r="AG70" i="2"/>
  <c r="AG81" i="2"/>
  <c r="AG82" i="2"/>
  <c r="AG64" i="2"/>
  <c r="AG77" i="2"/>
  <c r="AG76" i="2"/>
  <c r="AG73" i="2"/>
  <c r="AG71" i="2"/>
  <c r="AG9" i="2"/>
  <c r="AG65" i="2"/>
  <c r="AG69" i="2"/>
  <c r="AG75" i="2"/>
  <c r="AG34" i="2"/>
  <c r="AG37" i="2"/>
  <c r="AG39" i="2"/>
  <c r="AG30" i="2"/>
  <c r="AG36" i="2"/>
  <c r="AG46" i="2"/>
  <c r="AG41" i="2"/>
  <c r="AG79" i="2"/>
  <c r="AG42" i="2"/>
  <c r="AG66" i="2"/>
  <c r="AG54" i="2"/>
  <c r="AG56" i="2"/>
  <c r="AG32" i="2"/>
  <c r="AG53" i="2"/>
  <c r="AG23" i="2"/>
  <c r="AG74" i="2"/>
  <c r="AG78" i="2"/>
  <c r="AG17" i="2"/>
  <c r="AH22" i="2"/>
  <c r="AI22" i="2" s="1"/>
  <c r="AH31" i="2"/>
  <c r="AI31" i="2" s="1"/>
  <c r="AJ22" i="2"/>
  <c r="AJ31" i="2"/>
  <c r="AK22" i="2"/>
  <c r="AK31" i="2"/>
  <c r="B5" i="5"/>
  <c r="F13" i="1"/>
  <c r="C21" i="1"/>
  <c r="AK24" i="2"/>
  <c r="AK27" i="2"/>
  <c r="AK26" i="2"/>
  <c r="AK28" i="2"/>
  <c r="AK29" i="2"/>
  <c r="AK35" i="2"/>
  <c r="AK38" i="2"/>
  <c r="AK40" i="2"/>
  <c r="AK62" i="2"/>
  <c r="AK63" i="2"/>
  <c r="AK68" i="2"/>
  <c r="AK67" i="2"/>
  <c r="AK84" i="2"/>
  <c r="AK80" i="2"/>
  <c r="AK83" i="2"/>
  <c r="AK70" i="2"/>
  <c r="AK81" i="2"/>
  <c r="AK82" i="2"/>
  <c r="AK64" i="2"/>
  <c r="AK77" i="2"/>
  <c r="AK76" i="2"/>
  <c r="AK73" i="2"/>
  <c r="AK71" i="2"/>
  <c r="AK9" i="2"/>
  <c r="AK65" i="2"/>
  <c r="AK69" i="2"/>
  <c r="AK75" i="2"/>
  <c r="AK34" i="2"/>
  <c r="AK37" i="2"/>
  <c r="AK39" i="2"/>
  <c r="AK30" i="2"/>
  <c r="AK36" i="2"/>
  <c r="AK46" i="2"/>
  <c r="AK41" i="2"/>
  <c r="AK79" i="2"/>
  <c r="AK42" i="2"/>
  <c r="AK66" i="2"/>
  <c r="AK54" i="2"/>
  <c r="AK56" i="2"/>
  <c r="AK32" i="2"/>
  <c r="AK53" i="2"/>
  <c r="AK23" i="2"/>
  <c r="AK74" i="2"/>
  <c r="AK78" i="2"/>
  <c r="AK17" i="2"/>
  <c r="AJ24" i="2"/>
  <c r="AJ27" i="2"/>
  <c r="AJ26" i="2"/>
  <c r="AJ28" i="2"/>
  <c r="AJ29" i="2"/>
  <c r="AJ35" i="2"/>
  <c r="AJ38" i="2"/>
  <c r="AJ40" i="2"/>
  <c r="AJ62" i="2"/>
  <c r="AJ63" i="2"/>
  <c r="AJ68" i="2"/>
  <c r="AJ67" i="2"/>
  <c r="AJ84" i="2"/>
  <c r="AJ80" i="2"/>
  <c r="AJ83" i="2"/>
  <c r="AJ70" i="2"/>
  <c r="AJ81" i="2"/>
  <c r="AJ82" i="2"/>
  <c r="AJ64" i="2"/>
  <c r="AJ77" i="2"/>
  <c r="AJ76" i="2"/>
  <c r="AJ73" i="2"/>
  <c r="AJ71" i="2"/>
  <c r="AJ9" i="2"/>
  <c r="AJ65" i="2"/>
  <c r="AJ69" i="2"/>
  <c r="AJ75" i="2"/>
  <c r="AJ34" i="2"/>
  <c r="AJ37" i="2"/>
  <c r="AJ39" i="2"/>
  <c r="AJ30" i="2"/>
  <c r="AJ36" i="2"/>
  <c r="AJ46" i="2"/>
  <c r="AJ41" i="2"/>
  <c r="AJ79" i="2"/>
  <c r="AJ42" i="2"/>
  <c r="AJ66" i="2"/>
  <c r="AJ54" i="2"/>
  <c r="AJ56" i="2"/>
  <c r="AJ32" i="2"/>
  <c r="AJ53" i="2"/>
  <c r="AJ23" i="2"/>
  <c r="AJ74" i="2"/>
  <c r="AJ78" i="2"/>
  <c r="AJ17" i="2"/>
  <c r="R42" i="5"/>
  <c r="E42" i="5"/>
  <c r="D42" i="5"/>
  <c r="E41" i="5"/>
  <c r="D41" i="5"/>
  <c r="E40" i="5"/>
  <c r="D40" i="5"/>
  <c r="E39" i="5"/>
  <c r="D39" i="5"/>
  <c r="E38" i="5"/>
  <c r="D38" i="5"/>
  <c r="E36" i="5"/>
  <c r="M32" i="5"/>
  <c r="L32" i="5"/>
  <c r="K32" i="5"/>
  <c r="J32" i="5"/>
  <c r="I32" i="5"/>
  <c r="H32" i="5"/>
  <c r="G32" i="5"/>
  <c r="E7" i="8"/>
  <c r="F7" i="8" s="1"/>
  <c r="K7" i="8"/>
  <c r="E4" i="8"/>
  <c r="J4" i="8" s="1"/>
  <c r="G3" i="8"/>
  <c r="E3" i="8"/>
  <c r="AH24" i="2"/>
  <c r="AI24" i="2" s="1"/>
  <c r="AH27" i="2"/>
  <c r="AI27" i="2" s="1"/>
  <c r="AH26" i="2"/>
  <c r="AI26" i="2" s="1"/>
  <c r="AH28" i="2"/>
  <c r="AI28" i="2" s="1"/>
  <c r="AH29" i="2"/>
  <c r="AI29" i="2" s="1"/>
  <c r="AH35" i="2"/>
  <c r="AI35" i="2" s="1"/>
  <c r="AH38" i="2"/>
  <c r="AI38" i="2" s="1"/>
  <c r="AH40" i="2"/>
  <c r="AI40" i="2" s="1"/>
  <c r="AH62" i="2"/>
  <c r="AI62" i="2" s="1"/>
  <c r="AH63" i="2"/>
  <c r="AI63" i="2" s="1"/>
  <c r="AH68" i="2"/>
  <c r="AI68" i="2" s="1"/>
  <c r="AH67" i="2"/>
  <c r="AI67" i="2" s="1"/>
  <c r="AH84" i="2"/>
  <c r="AI84" i="2" s="1"/>
  <c r="AH80" i="2"/>
  <c r="AI80" i="2" s="1"/>
  <c r="AH83" i="2"/>
  <c r="AI83" i="2" s="1"/>
  <c r="AH70" i="2"/>
  <c r="AI70" i="2" s="1"/>
  <c r="AH81" i="2"/>
  <c r="AI81" i="2" s="1"/>
  <c r="AH82" i="2"/>
  <c r="AI82" i="2" s="1"/>
  <c r="AH64" i="2"/>
  <c r="AI64" i="2" s="1"/>
  <c r="AH77" i="2"/>
  <c r="AI77" i="2"/>
  <c r="AH76" i="2"/>
  <c r="AI76" i="2" s="1"/>
  <c r="AH73" i="2"/>
  <c r="AI73" i="2" s="1"/>
  <c r="AH71" i="2"/>
  <c r="AI71" i="2" s="1"/>
  <c r="AH9" i="2"/>
  <c r="AI9" i="2" s="1"/>
  <c r="AH65" i="2"/>
  <c r="AI65" i="2" s="1"/>
  <c r="AH69" i="2"/>
  <c r="AI69" i="2" s="1"/>
  <c r="AH75" i="2"/>
  <c r="AI75" i="2" s="1"/>
  <c r="AH34" i="2"/>
  <c r="AI34" i="2" s="1"/>
  <c r="AH37" i="2"/>
  <c r="AI37" i="2" s="1"/>
  <c r="AH39" i="2"/>
  <c r="AI39" i="2" s="1"/>
  <c r="AH30" i="2"/>
  <c r="AI30" i="2" s="1"/>
  <c r="AH36" i="2"/>
  <c r="AI36" i="2" s="1"/>
  <c r="AH46" i="2"/>
  <c r="AI46" i="2" s="1"/>
  <c r="AH41" i="2"/>
  <c r="AI41" i="2" s="1"/>
  <c r="AH79" i="2"/>
  <c r="AI79" i="2" s="1"/>
  <c r="AH42" i="2"/>
  <c r="AI42" i="2" s="1"/>
  <c r="AH66" i="2"/>
  <c r="AI66" i="2" s="1"/>
  <c r="AH54" i="2"/>
  <c r="AI54" i="2" s="1"/>
  <c r="AH56" i="2"/>
  <c r="AI56" i="2" s="1"/>
  <c r="AH32" i="2"/>
  <c r="AI32" i="2" s="1"/>
  <c r="AH53" i="2"/>
  <c r="AI53" i="2" s="1"/>
  <c r="AH23" i="2"/>
  <c r="AI23" i="2" s="1"/>
  <c r="AH74" i="2"/>
  <c r="AI74" i="2" s="1"/>
  <c r="AH78" i="2"/>
  <c r="AI78" i="2" s="1"/>
  <c r="AH17" i="2"/>
  <c r="AI17" i="2" s="1"/>
  <c r="N43" i="5"/>
  <c r="AE2" i="2"/>
  <c r="T6" i="2"/>
  <c r="M6" i="2"/>
  <c r="S6" i="2"/>
  <c r="R6" i="2"/>
  <c r="Q6" i="2"/>
  <c r="P6" i="2"/>
  <c r="O6" i="2"/>
  <c r="N6" i="2"/>
  <c r="Y42" i="5"/>
  <c r="D65" i="8"/>
  <c r="C65" i="8" s="1"/>
  <c r="D61" i="8"/>
  <c r="U54" i="2"/>
  <c r="K3" i="8"/>
  <c r="E6" i="8"/>
  <c r="K6" i="8" s="1"/>
  <c r="M43" i="5"/>
  <c r="J7" i="8"/>
  <c r="P35" i="5" l="1"/>
  <c r="AB35" i="5" s="1"/>
  <c r="P39" i="5"/>
  <c r="P40" i="5"/>
  <c r="AB40" i="5" s="1"/>
  <c r="P41" i="5"/>
  <c r="AB41" i="5" s="1"/>
  <c r="P42" i="5"/>
  <c r="AB42" i="5" s="1"/>
  <c r="AB38" i="5"/>
  <c r="AD38" i="5"/>
  <c r="T36" i="5"/>
  <c r="AB37" i="5"/>
  <c r="Q37" i="5"/>
  <c r="AD35" i="5"/>
  <c r="S41" i="5"/>
  <c r="P33" i="5"/>
  <c r="AB33" i="5" s="1"/>
  <c r="P34" i="5"/>
  <c r="AB34" i="5" s="1"/>
  <c r="P36" i="5"/>
  <c r="U26" i="2"/>
  <c r="U77" i="2"/>
  <c r="U43" i="2"/>
  <c r="U79" i="2"/>
  <c r="U60" i="2"/>
  <c r="U49" i="2"/>
  <c r="U67" i="2"/>
  <c r="U20" i="2"/>
  <c r="U12" i="2"/>
  <c r="U76" i="2"/>
  <c r="G21" i="8"/>
  <c r="U29" i="2"/>
  <c r="T35" i="5"/>
  <c r="T37" i="5"/>
  <c r="T38" i="5"/>
  <c r="AD39" i="5"/>
  <c r="AD40" i="5"/>
  <c r="T41" i="5"/>
  <c r="AD42" i="5"/>
  <c r="E43" i="5"/>
  <c r="AB39" i="5"/>
  <c r="T33" i="5"/>
  <c r="C61" i="8"/>
  <c r="E61" i="8" s="1"/>
  <c r="I3" i="8"/>
  <c r="I7" i="8"/>
  <c r="F6" i="8"/>
  <c r="I6" i="8" s="1"/>
  <c r="H7" i="8" s="1"/>
  <c r="G7" i="8" s="1"/>
  <c r="E5" i="8"/>
  <c r="C12" i="8"/>
  <c r="U37" i="5"/>
  <c r="AF37" i="5" s="1"/>
  <c r="J43" i="5"/>
  <c r="AD37" i="5"/>
  <c r="F12" i="2"/>
  <c r="V42" i="5"/>
  <c r="Q35" i="5"/>
  <c r="U35" i="5"/>
  <c r="AF35" i="5" s="1"/>
  <c r="U36" i="5"/>
  <c r="AF36" i="5" s="1"/>
  <c r="U38" i="5"/>
  <c r="V38" i="5" s="1"/>
  <c r="U40" i="5"/>
  <c r="V40" i="5" s="1"/>
  <c r="K43" i="5"/>
  <c r="T34" i="5"/>
  <c r="AD36" i="5"/>
  <c r="D20" i="8"/>
  <c r="D68" i="8" s="1"/>
  <c r="T40" i="5"/>
  <c r="F10" i="2"/>
  <c r="R41" i="5"/>
  <c r="S40" i="5"/>
  <c r="F52" i="2"/>
  <c r="Z33" i="5"/>
  <c r="F40" i="2"/>
  <c r="Z39" i="5"/>
  <c r="F13" i="2"/>
  <c r="S33" i="5"/>
  <c r="E16" i="8"/>
  <c r="Z40" i="5"/>
  <c r="Z41" i="5"/>
  <c r="F22" i="8"/>
  <c r="F32" i="8" s="1"/>
  <c r="F76" i="2"/>
  <c r="Z42" i="5"/>
  <c r="S37" i="5"/>
  <c r="AF38" i="5"/>
  <c r="N40" i="5"/>
  <c r="AH40" i="5" s="1"/>
  <c r="F79" i="2"/>
  <c r="U23" i="2"/>
  <c r="U19" i="2"/>
  <c r="Q39" i="5"/>
  <c r="F64" i="2"/>
  <c r="Q40" i="5"/>
  <c r="U66" i="2"/>
  <c r="F78" i="2"/>
  <c r="T39" i="5"/>
  <c r="C3" i="8"/>
  <c r="U34" i="2"/>
  <c r="U33" i="5"/>
  <c r="U41" i="5"/>
  <c r="AF41" i="5" s="1"/>
  <c r="F72" i="2"/>
  <c r="F19" i="2"/>
  <c r="U47" i="2"/>
  <c r="F37" i="2"/>
  <c r="U55" i="2"/>
  <c r="C4" i="8"/>
  <c r="S39" i="5"/>
  <c r="D58" i="8"/>
  <c r="D72" i="8" s="1"/>
  <c r="C72" i="8" s="1"/>
  <c r="U53" i="2"/>
  <c r="U35" i="2"/>
  <c r="U42" i="2"/>
  <c r="U24" i="2"/>
  <c r="U17" i="2"/>
  <c r="U74" i="2"/>
  <c r="U57" i="2"/>
  <c r="AE5" i="2"/>
  <c r="AD34" i="5"/>
  <c r="Z34" i="5"/>
  <c r="Z38" i="5"/>
  <c r="N41" i="5"/>
  <c r="AH41" i="5" s="1"/>
  <c r="F63" i="2"/>
  <c r="F60" i="2"/>
  <c r="U15" i="2"/>
  <c r="U31" i="2"/>
  <c r="U30" i="2"/>
  <c r="N37" i="5"/>
  <c r="AH37" i="5" s="1"/>
  <c r="F44" i="2"/>
  <c r="U5" i="2"/>
  <c r="U65" i="2"/>
  <c r="L43" i="5"/>
  <c r="F22" i="2"/>
  <c r="U61" i="2"/>
  <c r="F18" i="2"/>
  <c r="U14" i="2"/>
  <c r="U32" i="2"/>
  <c r="U9" i="2"/>
  <c r="U84" i="2"/>
  <c r="U71" i="2"/>
  <c r="F27" i="2"/>
  <c r="U22" i="2"/>
  <c r="U83" i="2"/>
  <c r="U58" i="2"/>
  <c r="D43" i="5"/>
  <c r="U51" i="2"/>
  <c r="AD41" i="5"/>
  <c r="U69" i="2"/>
  <c r="F84" i="2"/>
  <c r="U62" i="2"/>
  <c r="U78" i="2"/>
  <c r="U11" i="2"/>
  <c r="U45" i="2"/>
  <c r="U82" i="2"/>
  <c r="U81" i="2"/>
  <c r="U44" i="2"/>
  <c r="Q42" i="5"/>
  <c r="F43" i="2"/>
  <c r="D51" i="8"/>
  <c r="C51" i="8" s="1"/>
  <c r="U33" i="2"/>
  <c r="F25" i="2"/>
  <c r="U13" i="2"/>
  <c r="U56" i="2"/>
  <c r="U38" i="2"/>
  <c r="U72" i="2"/>
  <c r="U75" i="2"/>
  <c r="U80" i="2"/>
  <c r="V37" i="5"/>
  <c r="U27" i="2"/>
  <c r="U36" i="2"/>
  <c r="S42" i="5"/>
  <c r="N42" i="5"/>
  <c r="AH42" i="5" s="1"/>
  <c r="F62" i="2"/>
  <c r="F77" i="2"/>
  <c r="U50" i="2"/>
  <c r="U21" i="2"/>
  <c r="U40" i="2"/>
  <c r="U39" i="5"/>
  <c r="V39" i="5" s="1"/>
  <c r="U10" i="2"/>
  <c r="U34" i="5"/>
  <c r="V34" i="5" s="1"/>
  <c r="T42" i="5"/>
  <c r="U48" i="2"/>
  <c r="U52" i="2"/>
  <c r="U25" i="2"/>
  <c r="U70" i="2"/>
  <c r="U39" i="2"/>
  <c r="U28" i="2"/>
  <c r="U16" i="2"/>
  <c r="U37" i="2"/>
  <c r="U64" i="2"/>
  <c r="N34" i="5"/>
  <c r="AH34" i="5" s="1"/>
  <c r="AF34" i="5"/>
  <c r="N33" i="5"/>
  <c r="AH33" i="5" s="1"/>
  <c r="N35" i="5"/>
  <c r="AH35" i="5" s="1"/>
  <c r="N39" i="5"/>
  <c r="AH39" i="5" s="1"/>
  <c r="N36" i="5"/>
  <c r="AH36" i="5" s="1"/>
  <c r="N38" i="5"/>
  <c r="AH38" i="5" s="1"/>
  <c r="F36" i="2"/>
  <c r="F16" i="2"/>
  <c r="F15" i="2"/>
  <c r="F70" i="2"/>
  <c r="F24" i="2"/>
  <c r="Z36" i="5"/>
  <c r="F29" i="2"/>
  <c r="D48" i="8"/>
  <c r="F83" i="2"/>
  <c r="F61" i="2"/>
  <c r="F50" i="2"/>
  <c r="F9" i="2"/>
  <c r="F39" i="2"/>
  <c r="F75" i="2"/>
  <c r="F46" i="2"/>
  <c r="S38" i="5"/>
  <c r="F58" i="2"/>
  <c r="AB36" i="5"/>
  <c r="F54" i="2"/>
  <c r="F42" i="2"/>
  <c r="F28" i="2"/>
  <c r="F74" i="2"/>
  <c r="F57" i="2"/>
  <c r="C29" i="8"/>
  <c r="I30" i="10" s="1"/>
  <c r="F11" i="2"/>
  <c r="F47" i="2"/>
  <c r="I43" i="5"/>
  <c r="F38" i="2"/>
  <c r="D49" i="8"/>
  <c r="F71" i="2"/>
  <c r="F69" i="2"/>
  <c r="F33" i="2"/>
  <c r="F45" i="2"/>
  <c r="F67" i="2"/>
  <c r="F34" i="2"/>
  <c r="C21" i="8"/>
  <c r="D56" i="8" s="1"/>
  <c r="F48" i="2"/>
  <c r="F59" i="2"/>
  <c r="U59" i="2"/>
  <c r="F53" i="2"/>
  <c r="F66" i="2"/>
  <c r="F23" i="2"/>
  <c r="U18" i="2"/>
  <c r="U46" i="2"/>
  <c r="U63" i="2"/>
  <c r="U68" i="2"/>
  <c r="U41" i="2"/>
  <c r="S35" i="5"/>
  <c r="Z37" i="5"/>
  <c r="F31" i="2"/>
  <c r="F17" i="2"/>
  <c r="F65" i="2"/>
  <c r="F32" i="2"/>
  <c r="F21" i="2"/>
  <c r="O43" i="5"/>
  <c r="F51" i="2"/>
  <c r="F43" i="5"/>
  <c r="G43" i="5"/>
  <c r="F41" i="2"/>
  <c r="F73" i="2"/>
  <c r="F82" i="2"/>
  <c r="F80" i="2"/>
  <c r="S34" i="5"/>
  <c r="AD33" i="5"/>
  <c r="F30" i="2"/>
  <c r="F20" i="2"/>
  <c r="F81" i="2"/>
  <c r="F14" i="2"/>
  <c r="F49" i="2"/>
  <c r="F68" i="2"/>
  <c r="F55" i="2"/>
  <c r="F26" i="2"/>
  <c r="F56" i="2"/>
  <c r="F35" i="2"/>
  <c r="Q36" i="5"/>
  <c r="S36" i="5"/>
  <c r="Z35" i="5"/>
  <c r="C11" i="8"/>
  <c r="D31" i="8"/>
  <c r="M29" i="10" s="1"/>
  <c r="F4" i="8"/>
  <c r="I4" i="8" s="1"/>
  <c r="D32" i="8"/>
  <c r="Q29" i="10" s="1"/>
  <c r="C22" i="8"/>
  <c r="J5" i="8"/>
  <c r="D26" i="8"/>
  <c r="K29" i="10" s="1"/>
  <c r="D19" i="8"/>
  <c r="D27" i="8"/>
  <c r="O29" i="10" s="1"/>
  <c r="C19" i="8"/>
  <c r="D29" i="8"/>
  <c r="K4" i="8"/>
  <c r="F29" i="8"/>
  <c r="F31" i="8"/>
  <c r="F17" i="8"/>
  <c r="D24" i="8"/>
  <c r="C24" i="8"/>
  <c r="G30" i="10" s="1"/>
  <c r="Q34" i="5" l="1"/>
  <c r="Q41" i="5"/>
  <c r="AF40" i="5"/>
  <c r="C49" i="8"/>
  <c r="E49" i="8" s="1"/>
  <c r="Q33" i="5"/>
  <c r="C5" i="8"/>
  <c r="C6" i="8" s="1"/>
  <c r="C48" i="8"/>
  <c r="E48" i="8" s="1"/>
  <c r="C47" i="8"/>
  <c r="E47" i="8" s="1"/>
  <c r="F5" i="8"/>
  <c r="I5" i="8" s="1"/>
  <c r="H6" i="8" s="1"/>
  <c r="G6" i="8" s="1"/>
  <c r="K5" i="8"/>
  <c r="J6" i="8"/>
  <c r="H5" i="8"/>
  <c r="G5" i="8" s="1"/>
  <c r="V36" i="5"/>
  <c r="V35" i="5"/>
  <c r="AF39" i="5"/>
  <c r="C40" i="8"/>
  <c r="C41" i="8" s="1"/>
  <c r="C42" i="8" s="1"/>
  <c r="G22" i="8"/>
  <c r="F20" i="8"/>
  <c r="G20" i="8" s="1"/>
  <c r="AF33" i="5"/>
  <c r="V33" i="5"/>
  <c r="C54" i="8"/>
  <c r="E54" i="8" s="1"/>
  <c r="C58" i="8"/>
  <c r="C56" i="8"/>
  <c r="E56" i="8" s="1"/>
  <c r="V41" i="5"/>
  <c r="H4" i="8"/>
  <c r="U29" i="10"/>
  <c r="S29" i="10"/>
  <c r="C20" i="8"/>
  <c r="D70" i="8" s="1"/>
  <c r="C31" i="8"/>
  <c r="M30" i="10" s="1"/>
  <c r="D50" i="8"/>
  <c r="C50" i="8" s="1"/>
  <c r="E50" i="8" s="1"/>
  <c r="D55" i="8"/>
  <c r="C55" i="8" s="1"/>
  <c r="E55" i="8" s="1"/>
  <c r="E21" i="8"/>
  <c r="D57" i="8"/>
  <c r="C57" i="8" s="1"/>
  <c r="E57" i="8" s="1"/>
  <c r="S43" i="5"/>
  <c r="C68" i="8"/>
  <c r="E68" i="8" s="1"/>
  <c r="C26" i="8"/>
  <c r="K30" i="10" s="1"/>
  <c r="D62" i="8"/>
  <c r="C62" i="8" s="1"/>
  <c r="E62" i="8" s="1"/>
  <c r="D30" i="8"/>
  <c r="C32" i="8"/>
  <c r="E32" i="8" s="1"/>
  <c r="D63" i="8"/>
  <c r="E22" i="8"/>
  <c r="C27" i="8"/>
  <c r="I29" i="10"/>
  <c r="E29" i="8"/>
  <c r="D25" i="8"/>
  <c r="G32" i="8"/>
  <c r="Q32" i="10"/>
  <c r="F26" i="8"/>
  <c r="F27" i="8"/>
  <c r="F24" i="8"/>
  <c r="F19" i="8"/>
  <c r="C8" i="8"/>
  <c r="I32" i="10"/>
  <c r="G29" i="8"/>
  <c r="G29" i="10"/>
  <c r="E24" i="8"/>
  <c r="G31" i="10" s="1"/>
  <c r="M32" i="10"/>
  <c r="G31" i="8"/>
  <c r="F30" i="8"/>
  <c r="H8" i="8" l="1"/>
  <c r="G4" i="8"/>
  <c r="E31" i="8"/>
  <c r="E20" i="8"/>
  <c r="D69" i="8"/>
  <c r="C69" i="8" s="1"/>
  <c r="E69" i="8" s="1"/>
  <c r="C25" i="8"/>
  <c r="E25" i="8" s="1"/>
  <c r="S31" i="10" s="1"/>
  <c r="E26" i="8"/>
  <c r="K31" i="10" s="1"/>
  <c r="G30" i="8"/>
  <c r="C70" i="8"/>
  <c r="E70" i="8" s="1"/>
  <c r="D71" i="8"/>
  <c r="C71" i="8" s="1"/>
  <c r="E71" i="8" s="1"/>
  <c r="E27" i="8"/>
  <c r="O31" i="10" s="1"/>
  <c r="O30" i="10"/>
  <c r="S30" i="10" s="1"/>
  <c r="C63" i="8"/>
  <c r="E63" i="8" s="1"/>
  <c r="D64" i="8"/>
  <c r="C64" i="8" s="1"/>
  <c r="E64" i="8" s="1"/>
  <c r="Q30" i="10"/>
  <c r="U30" i="10" s="1"/>
  <c r="C30" i="8"/>
  <c r="E30" i="8" s="1"/>
  <c r="C35" i="8"/>
  <c r="C36" i="8"/>
  <c r="D57" i="2"/>
  <c r="D31" i="2"/>
  <c r="D11" i="2"/>
  <c r="D35" i="2"/>
  <c r="D82" i="2"/>
  <c r="D50" i="2"/>
  <c r="D64" i="2"/>
  <c r="D12" i="2"/>
  <c r="D51" i="2"/>
  <c r="D16" i="2"/>
  <c r="D78" i="2"/>
  <c r="D46" i="2"/>
  <c r="D59" i="2"/>
  <c r="D62" i="2"/>
  <c r="D17" i="2"/>
  <c r="D48" i="2"/>
  <c r="D23" i="2"/>
  <c r="D45" i="2"/>
  <c r="D77" i="2"/>
  <c r="D26" i="2"/>
  <c r="D68" i="2"/>
  <c r="D70" i="2"/>
  <c r="D15" i="2"/>
  <c r="D22" i="2"/>
  <c r="D54" i="2"/>
  <c r="D69" i="2"/>
  <c r="D19" i="2"/>
  <c r="D30" i="2"/>
  <c r="D65" i="2"/>
  <c r="D33" i="2"/>
  <c r="D34" i="2"/>
  <c r="D55" i="2"/>
  <c r="D24" i="2"/>
  <c r="D84" i="2"/>
  <c r="D28" i="2"/>
  <c r="D79" i="2"/>
  <c r="D60" i="2"/>
  <c r="D81" i="2"/>
  <c r="D73" i="2"/>
  <c r="D29" i="2"/>
  <c r="D49" i="2"/>
  <c r="D67" i="2"/>
  <c r="D39" i="2"/>
  <c r="D21" i="2"/>
  <c r="D13" i="2"/>
  <c r="D9" i="2"/>
  <c r="D56" i="2"/>
  <c r="D32" i="2"/>
  <c r="D38" i="2"/>
  <c r="D14" i="2"/>
  <c r="D40" i="2"/>
  <c r="D53" i="2"/>
  <c r="D66" i="2"/>
  <c r="D27" i="2"/>
  <c r="D43" i="2"/>
  <c r="D44" i="2"/>
  <c r="D80" i="2"/>
  <c r="D83" i="2"/>
  <c r="D41" i="2"/>
  <c r="D37" i="2"/>
  <c r="D72" i="2"/>
  <c r="D63" i="2"/>
  <c r="D20" i="2"/>
  <c r="D52" i="2"/>
  <c r="D76" i="2"/>
  <c r="D58" i="2"/>
  <c r="D47" i="2"/>
  <c r="D61" i="2"/>
  <c r="D71" i="2"/>
  <c r="D74" i="2"/>
  <c r="D75" i="2"/>
  <c r="D18" i="2"/>
  <c r="D25" i="2"/>
  <c r="D42" i="2"/>
  <c r="D36" i="2"/>
  <c r="D10" i="2"/>
  <c r="O32" i="10"/>
  <c r="G27" i="8"/>
  <c r="O33" i="10" s="1"/>
  <c r="K32" i="10"/>
  <c r="F25" i="8"/>
  <c r="G25" i="8" s="1"/>
  <c r="S33" i="10" s="1"/>
  <c r="G26" i="8"/>
  <c r="K33" i="10" s="1"/>
  <c r="G24" i="8"/>
  <c r="G33" i="10" s="1"/>
  <c r="G32" i="10"/>
  <c r="U32" i="10"/>
  <c r="S7" i="10" l="1"/>
  <c r="S32" i="10"/>
  <c r="E53" i="2"/>
  <c r="C53" i="2"/>
  <c r="C46" i="2"/>
  <c r="E46" i="2"/>
  <c r="C75" i="2"/>
  <c r="E75" i="2"/>
  <c r="C56" i="2"/>
  <c r="E56" i="2"/>
  <c r="E15" i="2"/>
  <c r="C15" i="2"/>
  <c r="C64" i="2"/>
  <c r="E64" i="2"/>
  <c r="E74" i="2"/>
  <c r="C74" i="2"/>
  <c r="E63" i="2"/>
  <c r="C63" i="2"/>
  <c r="E27" i="2"/>
  <c r="C27" i="2"/>
  <c r="C9" i="2"/>
  <c r="E9" i="2"/>
  <c r="E81" i="2"/>
  <c r="C81" i="2"/>
  <c r="C33" i="2"/>
  <c r="E33" i="2"/>
  <c r="E70" i="2"/>
  <c r="C70" i="2"/>
  <c r="E62" i="2"/>
  <c r="C62" i="2"/>
  <c r="C50" i="2"/>
  <c r="E50" i="2"/>
  <c r="C79" i="2"/>
  <c r="E79" i="2"/>
  <c r="C20" i="2"/>
  <c r="E20" i="2"/>
  <c r="E43" i="2"/>
  <c r="C43" i="2"/>
  <c r="C34" i="2"/>
  <c r="E34" i="2"/>
  <c r="C17" i="2"/>
  <c r="E17" i="2"/>
  <c r="C10" i="2"/>
  <c r="E10" i="2"/>
  <c r="C71" i="2"/>
  <c r="E71" i="2"/>
  <c r="E72" i="2"/>
  <c r="C72" i="2"/>
  <c r="C66" i="2"/>
  <c r="E66" i="2"/>
  <c r="E13" i="2"/>
  <c r="C13" i="2"/>
  <c r="C60" i="2"/>
  <c r="E60" i="2"/>
  <c r="E65" i="2"/>
  <c r="C65" i="2"/>
  <c r="C68" i="2"/>
  <c r="E68" i="2"/>
  <c r="C59" i="2"/>
  <c r="E59" i="2"/>
  <c r="C82" i="2"/>
  <c r="E82" i="2"/>
  <c r="E37" i="2"/>
  <c r="C37" i="2"/>
  <c r="E26" i="2"/>
  <c r="C26" i="2"/>
  <c r="E47" i="2"/>
  <c r="C47" i="2"/>
  <c r="C39" i="2"/>
  <c r="E39" i="2"/>
  <c r="C19" i="2"/>
  <c r="E19" i="2"/>
  <c r="E77" i="2"/>
  <c r="C77" i="2"/>
  <c r="E42" i="2"/>
  <c r="C42" i="2"/>
  <c r="C58" i="2"/>
  <c r="E58" i="2"/>
  <c r="C83" i="2"/>
  <c r="E83" i="2"/>
  <c r="E14" i="2"/>
  <c r="C14" i="2"/>
  <c r="E67" i="2"/>
  <c r="C67" i="2"/>
  <c r="C84" i="2"/>
  <c r="E84" i="2"/>
  <c r="C69" i="2"/>
  <c r="E69" i="2"/>
  <c r="C45" i="2"/>
  <c r="E45" i="2"/>
  <c r="C16" i="2"/>
  <c r="E16" i="2"/>
  <c r="C31" i="2"/>
  <c r="E31" i="2"/>
  <c r="C36" i="2"/>
  <c r="E36" i="2"/>
  <c r="E30" i="2"/>
  <c r="C30" i="2"/>
  <c r="E41" i="2"/>
  <c r="C41" i="2"/>
  <c r="C28" i="2"/>
  <c r="E28" i="2"/>
  <c r="C11" i="2"/>
  <c r="E11" i="2"/>
  <c r="C25" i="2"/>
  <c r="E25" i="2"/>
  <c r="E76" i="2"/>
  <c r="C76" i="2"/>
  <c r="C80" i="2"/>
  <c r="E80" i="2"/>
  <c r="E38" i="2"/>
  <c r="C38" i="2"/>
  <c r="C49" i="2"/>
  <c r="E49" i="2"/>
  <c r="C24" i="2"/>
  <c r="E24" i="2"/>
  <c r="C54" i="2"/>
  <c r="E54" i="2"/>
  <c r="C23" i="2"/>
  <c r="E23" i="2"/>
  <c r="C51" i="2"/>
  <c r="E51" i="2"/>
  <c r="C57" i="2"/>
  <c r="E57" i="2"/>
  <c r="C61" i="2"/>
  <c r="E61" i="2"/>
  <c r="E35" i="2"/>
  <c r="C35" i="2"/>
  <c r="E40" i="2"/>
  <c r="C40" i="2"/>
  <c r="E78" i="2"/>
  <c r="C78" i="2"/>
  <c r="C18" i="2"/>
  <c r="E18" i="2"/>
  <c r="C52" i="2"/>
  <c r="E52" i="2"/>
  <c r="C44" i="2"/>
  <c r="E44" i="2"/>
  <c r="C32" i="2"/>
  <c r="E32" i="2"/>
  <c r="C29" i="2"/>
  <c r="E29" i="2"/>
  <c r="C55" i="2"/>
  <c r="E55" i="2"/>
  <c r="C22" i="2"/>
  <c r="E22" i="2"/>
  <c r="C48" i="2"/>
  <c r="E48" i="2"/>
  <c r="C12" i="2"/>
  <c r="E12" i="2"/>
  <c r="E21" i="2"/>
  <c r="C21" i="2"/>
  <c r="C73" i="2"/>
  <c r="E7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Siddhi Mukim</author>
  </authors>
  <commentList>
    <comment ref="I12" authorId="0" shapeId="0" xr:uid="{51B04755-3D61-4217-ABA4-316ADEF6CCBD}">
      <text>
        <r>
          <rPr>
            <b/>
            <sz val="9"/>
            <color indexed="81"/>
            <rFont val="Tw Cen MT"/>
            <family val="2"/>
          </rPr>
          <t>Aswini Bajaj:</t>
        </r>
        <r>
          <rPr>
            <sz val="9"/>
            <color indexed="81"/>
            <rFont val="Tw Cen MT"/>
            <family val="2"/>
          </rPr>
          <t xml:space="preserve">
You can change this to 0. However we would recommend you to keep atleast 3-4 days for any delays that might occur.</t>
        </r>
      </text>
    </comment>
    <comment ref="C17" authorId="0" shapeId="0" xr:uid="{C41CE166-112C-49F1-9FB4-FADC6A8D76B6}">
      <text>
        <r>
          <rPr>
            <b/>
            <sz val="9"/>
            <color indexed="81"/>
            <rFont val="Tahoma"/>
            <family val="2"/>
          </rPr>
          <t xml:space="preserve">Aswini Bajaj:
</t>
        </r>
        <r>
          <rPr>
            <sz val="9"/>
            <color indexed="81"/>
            <rFont val="Tahoma"/>
            <family val="2"/>
          </rPr>
          <t>This denotes what you have actually completed.</t>
        </r>
      </text>
    </comment>
    <comment ref="C18" authorId="0" shapeId="0" xr:uid="{D23E324E-D7E6-42FE-8D35-327546EE10A3}">
      <text>
        <r>
          <rPr>
            <b/>
            <sz val="9"/>
            <color indexed="81"/>
            <rFont val="Tahoma"/>
            <family val="2"/>
          </rPr>
          <t xml:space="preserve">Aswini Bajaj:
</t>
        </r>
        <r>
          <rPr>
            <sz val="9"/>
            <color indexed="81"/>
            <rFont val="Tahoma"/>
            <family val="2"/>
          </rPr>
          <t>This denotes the extra chapters/hours that you have completed, which is over and above the expected chapters/hours according to this tracker.</t>
        </r>
      </text>
    </comment>
    <comment ref="C21" authorId="0" shapeId="0" xr:uid="{661F63CD-508D-4D1B-8162-31C93B6F8E3F}">
      <text>
        <r>
          <rPr>
            <b/>
            <sz val="9"/>
            <color indexed="81"/>
            <rFont val="Tahoma"/>
            <family val="2"/>
          </rPr>
          <t xml:space="preserve">Aswini Bajaj:
</t>
        </r>
        <r>
          <rPr>
            <sz val="9"/>
            <color indexed="81"/>
            <rFont val="Tahoma"/>
            <family val="2"/>
          </rPr>
          <t>This denotes the chapters and hours that is left for you to be done in the coming days according to the tracker.</t>
        </r>
      </text>
    </comment>
    <comment ref="C22" authorId="0" shapeId="0" xr:uid="{0A7973C2-A62B-494F-A12F-F507F1E70D27}">
      <text>
        <r>
          <rPr>
            <b/>
            <sz val="9"/>
            <color indexed="81"/>
            <rFont val="Tahoma"/>
            <family val="2"/>
          </rPr>
          <t xml:space="preserve">Aswini Bajaj:
</t>
        </r>
        <r>
          <rPr>
            <sz val="9"/>
            <color indexed="81"/>
            <rFont val="Tahoma"/>
            <family val="2"/>
          </rPr>
          <t>This denotes the extra chapters/hours that you were supposed to complete by today, but you have not done according to the tracker.</t>
        </r>
      </text>
    </comment>
    <comment ref="D30" authorId="0" shapeId="0" xr:uid="{95ADC4EA-2C6C-4AFC-9188-B76FE923C51B}">
      <text>
        <r>
          <rPr>
            <b/>
            <sz val="9"/>
            <color indexed="81"/>
            <rFont val="Tw Cen MT"/>
            <family val="2"/>
          </rPr>
          <t xml:space="preserve">Aswini Bajaj:
</t>
        </r>
        <r>
          <rPr>
            <sz val="9"/>
            <color indexed="81"/>
            <rFont val="Tw Cen MT"/>
            <family val="2"/>
          </rPr>
          <t>This is on the basis of the day you began prepartions till the exam date minus revision and buffer days.</t>
        </r>
      </text>
    </comment>
    <comment ref="D31" authorId="0" shapeId="0" xr:uid="{7E50F2FF-1B6A-423E-8C18-E1731E67055C}">
      <text>
        <r>
          <rPr>
            <b/>
            <sz val="9"/>
            <color indexed="81"/>
            <rFont val="Tw Cen MT"/>
            <family val="2"/>
          </rPr>
          <t xml:space="preserve">Aswini Bajaj:
</t>
        </r>
        <r>
          <rPr>
            <sz val="9"/>
            <color indexed="81"/>
            <rFont val="Tw Cen MT"/>
            <family val="2"/>
          </rPr>
          <t>This indicates the deviation from the expected values.</t>
        </r>
        <r>
          <rPr>
            <sz val="9"/>
            <color indexed="81"/>
            <rFont val="Tahoma"/>
            <family val="2"/>
          </rPr>
          <t xml:space="preserve">
</t>
        </r>
      </text>
    </comment>
    <comment ref="D32" authorId="0" shapeId="0" xr:uid="{10A5631A-D0A9-4191-A83E-61E3149221BD}">
      <text>
        <r>
          <rPr>
            <b/>
            <sz val="9"/>
            <color indexed="81"/>
            <rFont val="Tw Cen MT"/>
            <family val="2"/>
          </rPr>
          <t xml:space="preserve">Aswini Bajaj:
</t>
        </r>
        <r>
          <rPr>
            <sz val="9"/>
            <color indexed="81"/>
            <rFont val="Tw Cen MT"/>
            <family val="2"/>
          </rPr>
          <t xml:space="preserve">This is based on the remaining syllubus and the remaining time period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Siddhi Mukim</author>
  </authors>
  <commentList>
    <comment ref="C11" authorId="0" shapeId="0" xr:uid="{0E062965-7B6A-46E6-9FC6-470E4171B9E6}">
      <text>
        <r>
          <rPr>
            <b/>
            <sz val="9"/>
            <color indexed="81"/>
            <rFont val="Tw Cen MT"/>
            <family val="2"/>
          </rPr>
          <t xml:space="preserve">Aswini Bajaj:
</t>
        </r>
        <r>
          <rPr>
            <sz val="9"/>
            <color indexed="81"/>
            <rFont val="Tw Cen MT"/>
            <family val="2"/>
          </rPr>
          <t xml:space="preserve">This is calculated by subracting the revision and buffer days from the total no. of days left for the exam.
</t>
        </r>
      </text>
    </comment>
    <comment ref="C12" authorId="0" shapeId="0" xr:uid="{7C383E86-EBF3-4C36-9479-C3F1F4D073A6}">
      <text>
        <r>
          <rPr>
            <b/>
            <sz val="9"/>
            <color indexed="81"/>
            <rFont val="Tw Cen MT"/>
            <family val="2"/>
          </rPr>
          <t xml:space="preserve">Aswini Bajaj:
</t>
        </r>
        <r>
          <rPr>
            <sz val="9"/>
            <color indexed="81"/>
            <rFont val="Tw Cen MT"/>
            <family val="2"/>
          </rPr>
          <t>Check the analysis below and if you think it is not sufficient, you might have to increase your daily study hours.</t>
        </r>
      </text>
    </comment>
    <comment ref="C15" authorId="0" shapeId="0" xr:uid="{ECF1682E-2420-4472-9547-9FD37160379B}">
      <text>
        <r>
          <rPr>
            <b/>
            <sz val="9"/>
            <color indexed="81"/>
            <rFont val="Tw Cen MT"/>
            <family val="2"/>
          </rPr>
          <t xml:space="preserve">Aswini Bajaj:
</t>
        </r>
        <r>
          <rPr>
            <sz val="9"/>
            <color indexed="81"/>
            <rFont val="Tw Cen MT"/>
            <family val="2"/>
          </rPr>
          <t>This is on the basis of the day you began prepartions till the exam date minus revision and buffer days.</t>
        </r>
      </text>
    </comment>
    <comment ref="E15" authorId="0" shapeId="0" xr:uid="{9629F8EB-1D1C-433A-A695-1A0EDB07D541}">
      <text>
        <r>
          <rPr>
            <b/>
            <sz val="9"/>
            <color indexed="81"/>
            <rFont val="Tahoma"/>
            <family val="2"/>
          </rPr>
          <t xml:space="preserve">Aswini Bajaj:
</t>
        </r>
        <r>
          <rPr>
            <sz val="9"/>
            <color indexed="81"/>
            <rFont val="Tahoma"/>
            <family val="2"/>
          </rPr>
          <t xml:space="preserve">This indicates the deviation from the expected values.
</t>
        </r>
      </text>
    </comment>
    <comment ref="F15" authorId="0" shapeId="0" xr:uid="{5F5AA9C3-9028-4B3D-8292-0F5A7B2B03F2}">
      <text>
        <r>
          <rPr>
            <b/>
            <sz val="9"/>
            <color indexed="81"/>
            <rFont val="Tw Cen MT"/>
            <family val="2"/>
          </rPr>
          <t xml:space="preserve">Aswini Bajaj:
</t>
        </r>
        <r>
          <rPr>
            <sz val="9"/>
            <color indexed="81"/>
            <rFont val="Tw Cen MT"/>
            <family val="2"/>
          </rPr>
          <t xml:space="preserve">This is based on the remaining syllubus and the remaining time period
</t>
        </r>
      </text>
    </comment>
    <comment ref="B19" authorId="0" shapeId="0" xr:uid="{0609FC04-07FE-4D64-A85F-7BD0489447B8}">
      <text>
        <r>
          <rPr>
            <b/>
            <sz val="9"/>
            <color indexed="81"/>
            <rFont val="Tahoma"/>
            <family val="2"/>
          </rPr>
          <t xml:space="preserve">Aswini Bajaj:
</t>
        </r>
        <r>
          <rPr>
            <sz val="9"/>
            <color indexed="81"/>
            <rFont val="Tahoma"/>
            <family val="2"/>
          </rPr>
          <t xml:space="preserve">This is based on the no. of hours you had planned to study on weekday and weekends.
</t>
        </r>
      </text>
    </comment>
    <comment ref="B22" authorId="0" shapeId="0" xr:uid="{4DD4E19A-A102-493F-8B07-8BD5CAE17AF9}">
      <text>
        <r>
          <rPr>
            <b/>
            <sz val="9"/>
            <color indexed="81"/>
            <rFont val="Tahoma"/>
            <family val="2"/>
          </rPr>
          <t xml:space="preserve">Aswini Bajaj:
</t>
        </r>
        <r>
          <rPr>
            <sz val="9"/>
            <color indexed="81"/>
            <rFont val="Tahoma"/>
            <family val="2"/>
          </rPr>
          <t xml:space="preserve">This is based on the no. of hours you needed for self study and practice per chapter
</t>
        </r>
      </text>
    </comment>
    <comment ref="B28" authorId="0" shapeId="0" xr:uid="{38A0FA9C-3E21-478E-B04F-4514B748D001}">
      <text>
        <r>
          <rPr>
            <b/>
            <sz val="9"/>
            <color indexed="81"/>
            <rFont val="Tw Cen MT"/>
            <family val="2"/>
          </rPr>
          <t xml:space="preserve">Aswini Bajaj:
</t>
        </r>
        <r>
          <rPr>
            <sz val="9"/>
            <color indexed="81"/>
            <rFont val="Tw Cen MT"/>
            <family val="2"/>
          </rPr>
          <t>This is based on the weighted average [(3*5)+(8*2)] of the total no. of hours you can study on weekday and weekends.</t>
        </r>
      </text>
    </comment>
  </commentList>
</comments>
</file>

<file path=xl/sharedStrings.xml><?xml version="1.0" encoding="utf-8"?>
<sst xmlns="http://schemas.openxmlformats.org/spreadsheetml/2006/main" count="1218" uniqueCount="293">
  <si>
    <t>Candidate Name:</t>
  </si>
  <si>
    <t>Date of Exam:</t>
  </si>
  <si>
    <t>Date of Beginning Preparation:</t>
  </si>
  <si>
    <t>Subject</t>
  </si>
  <si>
    <t>Reading</t>
  </si>
  <si>
    <t>Topic</t>
  </si>
  <si>
    <t>U</t>
  </si>
  <si>
    <t>Total</t>
  </si>
  <si>
    <t>Performance Review</t>
  </si>
  <si>
    <t>Quants</t>
  </si>
  <si>
    <t>CFA L-1</t>
  </si>
  <si>
    <t>Ethics</t>
  </si>
  <si>
    <t>Ethics and Trust in the Investment Profession</t>
  </si>
  <si>
    <t>Hypothesis Testing</t>
  </si>
  <si>
    <t>Economics</t>
  </si>
  <si>
    <t>Monetary and Fiscal Policy</t>
  </si>
  <si>
    <t>International Trade and Capital Flows</t>
  </si>
  <si>
    <t>Financial Analysis Techniques</t>
  </si>
  <si>
    <t>Inventories</t>
  </si>
  <si>
    <t>Income Taxes</t>
  </si>
  <si>
    <t>Financial Reporting Quality</t>
  </si>
  <si>
    <t>Basics of Portfolio Planning and Construction</t>
  </si>
  <si>
    <t>Equity</t>
  </si>
  <si>
    <t>Market Efficiency</t>
  </si>
  <si>
    <t>Overview of Equity Securities</t>
  </si>
  <si>
    <t>Fixed Income</t>
  </si>
  <si>
    <t>Derivatives</t>
  </si>
  <si>
    <t>Total Chapters</t>
  </si>
  <si>
    <t>Order of Study</t>
  </si>
  <si>
    <t>Done</t>
  </si>
  <si>
    <t>Undone</t>
  </si>
  <si>
    <t>Syllubus(D)</t>
  </si>
  <si>
    <t>Syllubus(T)</t>
  </si>
  <si>
    <t>Practice(D)</t>
  </si>
  <si>
    <t>Practice(T)</t>
  </si>
  <si>
    <t>Practice</t>
  </si>
  <si>
    <t>Done (P)</t>
  </si>
  <si>
    <t>Undone(P)</t>
  </si>
  <si>
    <t>Undone(S)</t>
  </si>
  <si>
    <t>Lectures</t>
  </si>
  <si>
    <t>Self Study</t>
  </si>
  <si>
    <t>Institute EOC Questions</t>
  </si>
  <si>
    <t>Class Test Book</t>
  </si>
  <si>
    <t>Revision</t>
  </si>
  <si>
    <t>Institute Online Portal</t>
  </si>
  <si>
    <t>Practice Book</t>
  </si>
  <si>
    <t>Cumulative (%)</t>
  </si>
  <si>
    <t>Heading</t>
  </si>
  <si>
    <t>Particulars</t>
  </si>
  <si>
    <t>Instructions</t>
  </si>
  <si>
    <t>Duration (hh:mm)</t>
  </si>
  <si>
    <t>Total Duration</t>
  </si>
  <si>
    <t>Completed</t>
  </si>
  <si>
    <t>You need to go through the chapter yourself to understand and learn the concepts (not mug up). You will have to refer to my notes/ Schweser/ notes depending on the lecture. This includes solving questions at the end of the chapter from Schweser. The details on preparation and studying have been covered in the “How to Study and Practice’ lecture.</t>
  </si>
  <si>
    <t>You need to do a very thorough revision of the entire curriculum. Attend the lecture ‘How to Revise’ before beginning your revision. It is not mandatory to watch revision lectures for each chapter. Please refer to the mentioned lecture to know how to revise.</t>
  </si>
  <si>
    <t>After every subject has been completed, make sure to complete solving the questions here. It serves as a quick revision of the entire subject and improves retention. Advisable to time yourself for these and make a note of time taken and assess your time management. Although time management is not a major challenge for L-1. Priority should be accuracy, do not rush.</t>
  </si>
  <si>
    <t>The practice book provided has questions on a subject wise basis. If you have enough time left, you may practice the same. Recommended but not mandatory. The questions are of good standard.</t>
  </si>
  <si>
    <t>Not important. Prioritize institute resources to practice. Focus on revision and concepts and retention. In case you still wish to practice, you may. The graphs do not capture this column to assess your level of practice. My advice, skip this, practice institute resources and focus on revision and learning. Standard of these questions is not as good as that of the institute. You may still practice Ethics.</t>
  </si>
  <si>
    <t>Not important. Prioritize institute resources to practice. Focus on revision and concepts and retention. In case you still wish to practice, you may. The graphs do not capture this column to assess your level of practice. My advice, skip this, practice institute resources and focus on revision and learning. You may still practice Ethics.</t>
  </si>
  <si>
    <t>Lectures Completed (hh:mm)</t>
  </si>
  <si>
    <t>Total no. of days left for the exam</t>
  </si>
  <si>
    <t>Expected</t>
  </si>
  <si>
    <t>Actual</t>
  </si>
  <si>
    <t>Self Study Done</t>
  </si>
  <si>
    <t>From Today Till Revision</t>
  </si>
  <si>
    <t>Target</t>
  </si>
  <si>
    <t>From Beginning Till Date</t>
  </si>
  <si>
    <t>Total hours available for preparation according to your daily study hours</t>
  </si>
  <si>
    <t>Input Sheet</t>
  </si>
  <si>
    <t>Total Number of Chapters</t>
  </si>
  <si>
    <t>LABEL</t>
  </si>
  <si>
    <t>YEAR</t>
  </si>
  <si>
    <t>%</t>
  </si>
  <si>
    <t>Difference</t>
  </si>
  <si>
    <t>No. of days</t>
  </si>
  <si>
    <t>Diff %</t>
  </si>
  <si>
    <t>Cum. Diff</t>
  </si>
  <si>
    <t>No. of days remaining for lectures and self study</t>
  </si>
  <si>
    <t>Schweser Practice Book 1</t>
  </si>
  <si>
    <t>Schweser Practice Book 2</t>
  </si>
  <si>
    <t>lectures</t>
  </si>
  <si>
    <t xml:space="preserve">Total </t>
  </si>
  <si>
    <t>Variance</t>
  </si>
  <si>
    <t>Weekdays</t>
  </si>
  <si>
    <t>Weekends</t>
  </si>
  <si>
    <t>Total Hours left</t>
  </si>
  <si>
    <t>Weekly hours</t>
  </si>
  <si>
    <t>Expected hours of study</t>
  </si>
  <si>
    <t>Difficulty Level</t>
  </si>
  <si>
    <t>Confusing</t>
  </si>
  <si>
    <t>Level of Practice to be done</t>
  </si>
  <si>
    <t>No. of LOS</t>
  </si>
  <si>
    <t xml:space="preserve">Refers to the chapter number as per the current year curriculum. </t>
  </si>
  <si>
    <t>Total Planned Hours of Study</t>
  </si>
  <si>
    <t>Total Actual Hours of Study (A+B)</t>
  </si>
  <si>
    <t>Weekly Analysis</t>
  </si>
  <si>
    <t>Daily Analysis</t>
  </si>
  <si>
    <t>-Lecture Hours (A)</t>
  </si>
  <si>
    <t>Hours of Study (A+B)</t>
  </si>
  <si>
    <t>Total Number of Weeks</t>
  </si>
  <si>
    <t>Total Number of Days</t>
  </si>
  <si>
    <t>-Self Study and Practice Hours (B)</t>
  </si>
  <si>
    <t>Number of Chapters</t>
  </si>
  <si>
    <r>
      <t xml:space="preserve">On a scale of </t>
    </r>
    <r>
      <rPr>
        <b/>
        <sz val="11"/>
        <color theme="1"/>
        <rFont val="Tw Cen MT"/>
        <family val="2"/>
      </rPr>
      <t>1(Least) to 5(Very)</t>
    </r>
    <r>
      <rPr>
        <sz val="11"/>
        <color theme="1"/>
        <rFont val="Tw Cen MT"/>
        <family val="2"/>
      </rPr>
      <t xml:space="preserve"> have highlighted the importance level of the same, '3' being an average/normal chapter. This is just an indication and selective studying is not at all encouraged. The importance level of a chapter could be because of a high probability of testability, or because of dependence of another chapter or the next level on this particular chapter. The questions may turn up from unexpected or seemingly unimportant areas. Please do not misconstrue or exaggerate the meaning of the same.</t>
    </r>
  </si>
  <si>
    <r>
      <t xml:space="preserve">On a scale of </t>
    </r>
    <r>
      <rPr>
        <b/>
        <sz val="11"/>
        <color theme="1"/>
        <rFont val="Tw Cen MT"/>
        <family val="2"/>
      </rPr>
      <t>1(easy) to 5(Difficult)</t>
    </r>
    <r>
      <rPr>
        <sz val="11"/>
        <color theme="1"/>
        <rFont val="Tw Cen MT"/>
        <family val="2"/>
      </rPr>
      <t>, is very subjective. Irrespective, you need to attend the lectures with a very firm and focused mind, because questions could be from anywhere and confusing questions could turn up from unexpected areas</t>
    </r>
  </si>
  <si>
    <r>
      <t>Refers to the chapter name. The same has been highlighted in two shades to indicate in case of any changes compared to the previous year curriculum (</t>
    </r>
    <r>
      <rPr>
        <b/>
        <sz val="11"/>
        <color theme="1"/>
        <rFont val="Tw Cen MT"/>
        <family val="2"/>
      </rPr>
      <t>Change: Yellow</t>
    </r>
    <r>
      <rPr>
        <sz val="11"/>
        <color theme="1"/>
        <rFont val="Tw Cen MT"/>
        <family val="2"/>
      </rPr>
      <t xml:space="preserve">) or in case it has been added for the first time to the curriculum </t>
    </r>
    <r>
      <rPr>
        <b/>
        <sz val="11"/>
        <color theme="1"/>
        <rFont val="Tw Cen MT"/>
        <family val="2"/>
      </rPr>
      <t>(New: Orange</t>
    </r>
    <r>
      <rPr>
        <sz val="11"/>
        <color theme="1"/>
        <rFont val="Tw Cen MT"/>
        <family val="2"/>
      </rPr>
      <t>).</t>
    </r>
  </si>
  <si>
    <r>
      <t xml:space="preserve">On a scale of </t>
    </r>
    <r>
      <rPr>
        <b/>
        <sz val="11"/>
        <color theme="1"/>
        <rFont val="Tw Cen MT"/>
        <family val="2"/>
      </rPr>
      <t>1(Least) to 5(Very)</t>
    </r>
    <r>
      <rPr>
        <sz val="11"/>
        <color theme="1"/>
        <rFont val="Tw Cen MT"/>
        <family val="2"/>
      </rPr>
      <t xml:space="preserve"> have highlighted the level of confusion, '3' being an average chapter. This is done to make sure that you understand that you need to concentrate and the chapters in which you are prone to make silly errors, and often one formula or concept connects with the following one and if you are distracted or did not learn the first one well, you will end up building a weak foundation for the forthcoming concepts and formula. FOCUS!
Also, the level of confusion could be high due to the kind of questions tested, although the reading may be fairly straightforward.</t>
    </r>
  </si>
  <si>
    <r>
      <t xml:space="preserve">This gives you a rough approximation of the </t>
    </r>
    <r>
      <rPr>
        <b/>
        <sz val="11"/>
        <color theme="1"/>
        <rFont val="Tw Cen MT"/>
        <family val="2"/>
      </rPr>
      <t>‘%’ of lectures completed</t>
    </r>
    <r>
      <rPr>
        <sz val="11"/>
        <color theme="1"/>
        <rFont val="Tw Cen MT"/>
        <family val="2"/>
      </rPr>
      <t xml:space="preserve">, and hence an idea of the proportion of syllabus completed. </t>
    </r>
  </si>
  <si>
    <r>
      <t>The Most important part of your preparation. You</t>
    </r>
    <r>
      <rPr>
        <b/>
        <sz val="11"/>
        <color theme="1"/>
        <rFont val="Tw Cen MT"/>
        <family val="2"/>
      </rPr>
      <t xml:space="preserve"> must watch every single lecture</t>
    </r>
    <r>
      <rPr>
        <sz val="11"/>
        <color theme="1"/>
        <rFont val="Tw Cen MT"/>
        <family val="2"/>
      </rPr>
      <t xml:space="preserve"> very attentively. You are strictly advised against using your phone while attending the lectures. Sit for a minimum 2.5-3 hours at a stretch. Do not leave a topic or a concept in between while studying, by taking too many breaks. </t>
    </r>
  </si>
  <si>
    <r>
      <t xml:space="preserve">The </t>
    </r>
    <r>
      <rPr>
        <b/>
        <sz val="11"/>
        <color theme="1"/>
        <rFont val="Tw Cen MT"/>
        <family val="2"/>
      </rPr>
      <t>End of Chapter questions is the first priority</t>
    </r>
    <r>
      <rPr>
        <sz val="11"/>
        <color theme="1"/>
        <rFont val="Tw Cen MT"/>
        <family val="2"/>
      </rPr>
      <t xml:space="preserve"> for practice. Complete this immediately after completing the chapter. Do not delay the same. Please make sure to watch the ‘How to Study and Practice’ Lecture to know exactly how to go about practice. There could be some Non-MCQ questions also, still try solving them.</t>
    </r>
  </si>
  <si>
    <r>
      <t>This is</t>
    </r>
    <r>
      <rPr>
        <b/>
        <sz val="11"/>
        <color theme="1"/>
        <rFont val="Tw Cen MT"/>
        <family val="2"/>
      </rPr>
      <t xml:space="preserve"> advisable to be done along with revision</t>
    </r>
    <r>
      <rPr>
        <sz val="11"/>
        <color theme="1"/>
        <rFont val="Tw Cen MT"/>
        <family val="2"/>
      </rPr>
      <t>. You build online reading speed as well. The level of Questions is very good. You may skip this and do only the practice book instead if you are falling short of time to do both.</t>
    </r>
  </si>
  <si>
    <t>Syllabus</t>
  </si>
  <si>
    <r>
      <t>It just gives an indication of whether the chapter is lengthy on a scale of '1' to '5', '</t>
    </r>
    <r>
      <rPr>
        <b/>
        <sz val="11"/>
        <color theme="1"/>
        <rFont val="Tw Cen MT"/>
        <family val="2"/>
      </rPr>
      <t>3' being an average chapter length.</t>
    </r>
  </si>
  <si>
    <t>Notes to Yourself</t>
  </si>
  <si>
    <t>Average</t>
  </si>
  <si>
    <t>On a scale of 1(None) to 5(completely) have highlighted if the reading has a lot of numerical, formulas, ratios, calculations, etc. This is just to give you an idea to have the right expectations before you begin the chapter.</t>
  </si>
  <si>
    <t>Lengthy</t>
  </si>
  <si>
    <t>Numerical or Not</t>
  </si>
  <si>
    <t>Diff. Level</t>
  </si>
  <si>
    <t>Imp. Level</t>
  </si>
  <si>
    <t>Reqd. Prac.</t>
  </si>
  <si>
    <t>Cum. (%)</t>
  </si>
  <si>
    <t>Prac. Book</t>
  </si>
  <si>
    <t>Inst. Online Portal</t>
  </si>
  <si>
    <t>Inst. EOC Ques.</t>
  </si>
  <si>
    <t>Schweser Prac. Bk 1</t>
  </si>
  <si>
    <t>Schweser Prac. Bk 2</t>
  </si>
  <si>
    <t>Inc. Eff. Needed</t>
  </si>
  <si>
    <r>
      <rPr>
        <b/>
        <i/>
        <sz val="16"/>
        <color rgb="FFFF0000"/>
        <rFont val="Tw Cen MT"/>
        <family val="2"/>
      </rPr>
      <t>Instructions:</t>
    </r>
    <r>
      <rPr>
        <i/>
        <sz val="14"/>
        <color rgb="FFFF0000"/>
        <rFont val="Tw Cen MT"/>
        <family val="2"/>
      </rPr>
      <t xml:space="preserve"> Choose 'D' for Done and 'U' for Undone. </t>
    </r>
  </si>
  <si>
    <t>Aggregate Output, Prices, and Economic Growth</t>
  </si>
  <si>
    <t>Capital Structure</t>
  </si>
  <si>
    <t>Security Market Indexes</t>
  </si>
  <si>
    <t>Ethics Application</t>
  </si>
  <si>
    <t>Corp. Issuers</t>
  </si>
  <si>
    <t>Changes</t>
  </si>
  <si>
    <t>Same</t>
  </si>
  <si>
    <t>Confidence Level</t>
  </si>
  <si>
    <t>Extra Practice</t>
  </si>
  <si>
    <t>Level of Confidence</t>
  </si>
  <si>
    <t>Total weights</t>
  </si>
  <si>
    <t>Subjectwise weights</t>
  </si>
  <si>
    <t>Subjectwise weighted average</t>
  </si>
  <si>
    <t>Revision (U)</t>
  </si>
  <si>
    <t>Extra Practice (D)</t>
  </si>
  <si>
    <t>Extra Practice (U)</t>
  </si>
  <si>
    <t>Revision(D)</t>
  </si>
  <si>
    <t>Revision(T)</t>
  </si>
  <si>
    <t>Extra Practice (T)</t>
  </si>
  <si>
    <t>Confidence</t>
  </si>
  <si>
    <t>Confidence(T)</t>
  </si>
  <si>
    <t>Done (S)</t>
  </si>
  <si>
    <t xml:space="preserve">Expected Total Hours </t>
  </si>
  <si>
    <t>No. of days required</t>
  </si>
  <si>
    <t>Practice and Self Study</t>
  </si>
  <si>
    <t>Column2</t>
  </si>
  <si>
    <t>Hours of Lecture per week</t>
  </si>
  <si>
    <t>Column1</t>
  </si>
  <si>
    <r>
      <t xml:space="preserve">Study Hours - </t>
    </r>
    <r>
      <rPr>
        <b/>
        <sz val="10"/>
        <color theme="1"/>
        <rFont val="Tw Cen MT"/>
        <family val="2"/>
      </rPr>
      <t xml:space="preserve">Weekdays </t>
    </r>
    <r>
      <rPr>
        <sz val="10"/>
        <color theme="0" tint="-0.249977111117893"/>
        <rFont val="Tw Cen MT"/>
        <family val="2"/>
      </rPr>
      <t>Per day</t>
    </r>
  </si>
  <si>
    <r>
      <t xml:space="preserve">Study Hours - </t>
    </r>
    <r>
      <rPr>
        <b/>
        <sz val="10"/>
        <color theme="1"/>
        <rFont val="Tw Cen MT"/>
        <family val="2"/>
      </rPr>
      <t>Weekends</t>
    </r>
    <r>
      <rPr>
        <sz val="10"/>
        <color theme="1"/>
        <rFont val="Tw Cen MT"/>
        <family val="2"/>
      </rPr>
      <t xml:space="preserve"> </t>
    </r>
    <r>
      <rPr>
        <sz val="10"/>
        <color theme="0" tint="-0.249977111117893"/>
        <rFont val="Tw Cen MT"/>
        <family val="2"/>
      </rPr>
      <t>Per day</t>
    </r>
  </si>
  <si>
    <r>
      <t>Self Study Hours</t>
    </r>
    <r>
      <rPr>
        <sz val="10"/>
        <color theme="0" tint="-0.249977111117893"/>
        <rFont val="Tw Cen MT"/>
        <family val="2"/>
      </rPr>
      <t xml:space="preserve"> Per Chapter</t>
    </r>
  </si>
  <si>
    <r>
      <t xml:space="preserve">No. of days for </t>
    </r>
    <r>
      <rPr>
        <b/>
        <sz val="10"/>
        <color theme="1"/>
        <rFont val="Tw Cen MT"/>
        <family val="2"/>
      </rPr>
      <t>Revision</t>
    </r>
  </si>
  <si>
    <t>DONE</t>
  </si>
  <si>
    <t>UNDONE</t>
  </si>
  <si>
    <t>Row Labels</t>
  </si>
  <si>
    <t>Grand Total</t>
  </si>
  <si>
    <t>More than expected</t>
  </si>
  <si>
    <t>Less than expected</t>
  </si>
  <si>
    <t>Schedule</t>
  </si>
  <si>
    <t>Total Lectures</t>
  </si>
  <si>
    <t>Total Self Study</t>
  </si>
  <si>
    <t>Extra Done</t>
  </si>
  <si>
    <t>Extra Undone</t>
  </si>
  <si>
    <t>Weekly</t>
  </si>
  <si>
    <t>Daily</t>
  </si>
  <si>
    <t>From Today till Revision</t>
  </si>
  <si>
    <t>From Beginning 
till Date</t>
  </si>
  <si>
    <t>Buffer days for pending portions &amp; practice</t>
  </si>
  <si>
    <t>No. of Chapters</t>
  </si>
  <si>
    <t>Lecture Hours</t>
  </si>
  <si>
    <t>Self Study Hours</t>
  </si>
  <si>
    <t>Total Self Study+Practice</t>
  </si>
  <si>
    <t>Total Hours</t>
  </si>
  <si>
    <r>
      <t xml:space="preserve">Details on 'what' and 'how much' to practice has been provided in details already. This is just to give an indication on a chapter-wise basis, with respect to the required practice, given how much the student is prone to error, or if there are a lot of confusing or difficult questions being tested from that chapter.
</t>
    </r>
    <r>
      <rPr>
        <b/>
        <sz val="11"/>
        <color theme="1"/>
        <rFont val="Tw Cen MT"/>
        <family val="2"/>
      </rPr>
      <t>1</t>
    </r>
    <r>
      <rPr>
        <sz val="11"/>
        <color theme="1"/>
        <rFont val="Tw Cen MT"/>
        <family val="2"/>
      </rPr>
      <t xml:space="preserve"> - Only If you have a shortage of time, you may skip the practice altogether, else do the </t>
    </r>
    <r>
      <rPr>
        <b/>
        <sz val="11"/>
        <color theme="1"/>
        <rFont val="Tw Cen MT"/>
        <family val="2"/>
      </rPr>
      <t>Institute Material EOC</t>
    </r>
    <r>
      <rPr>
        <sz val="11"/>
        <color theme="1"/>
        <rFont val="Tw Cen MT"/>
        <family val="2"/>
      </rPr>
      <t xml:space="preserve"> at least.
</t>
    </r>
    <r>
      <rPr>
        <b/>
        <sz val="11"/>
        <color theme="1"/>
        <rFont val="Tw Cen MT"/>
        <family val="2"/>
      </rPr>
      <t>2</t>
    </r>
    <r>
      <rPr>
        <sz val="11"/>
        <color theme="1"/>
        <rFont val="Tw Cen MT"/>
        <family val="2"/>
      </rPr>
      <t xml:space="preserve"> - If you are short of time, do the Institute Material EOC &amp; </t>
    </r>
    <r>
      <rPr>
        <b/>
        <sz val="11"/>
        <color theme="1"/>
        <rFont val="Tw Cen MT"/>
        <family val="2"/>
      </rPr>
      <t>Schweser EOC</t>
    </r>
    <r>
      <rPr>
        <sz val="11"/>
        <color theme="1"/>
        <rFont val="Tw Cen MT"/>
        <family val="2"/>
      </rPr>
      <t xml:space="preserve">.
</t>
    </r>
    <r>
      <rPr>
        <b/>
        <sz val="11"/>
        <color theme="1"/>
        <rFont val="Tw Cen MT"/>
        <family val="2"/>
      </rPr>
      <t>3</t>
    </r>
    <r>
      <rPr>
        <sz val="11"/>
        <color theme="1"/>
        <rFont val="Tw Cen MT"/>
        <family val="2"/>
      </rPr>
      <t xml:space="preserve"> - Do the Institute Material EOC, &amp; Schweser EOC, </t>
    </r>
    <r>
      <rPr>
        <b/>
        <sz val="11"/>
        <color theme="1"/>
        <rFont val="Tw Cen MT"/>
        <family val="2"/>
      </rPr>
      <t>Class Test Book</t>
    </r>
    <r>
      <rPr>
        <sz val="11"/>
        <color theme="1"/>
        <rFont val="Tw Cen MT"/>
        <family val="2"/>
      </rPr>
      <t xml:space="preserve">(Subject wise).
</t>
    </r>
    <r>
      <rPr>
        <b/>
        <sz val="11"/>
        <color theme="1"/>
        <rFont val="Tw Cen MT"/>
        <family val="2"/>
      </rPr>
      <t>4</t>
    </r>
    <r>
      <rPr>
        <sz val="11"/>
        <color theme="1"/>
        <rFont val="Tw Cen MT"/>
        <family val="2"/>
      </rPr>
      <t xml:space="preserve"> - Do the Institute Material EOC and Schweser EOC, Class Test Book(Subject wise), </t>
    </r>
    <r>
      <rPr>
        <b/>
        <sz val="11"/>
        <color theme="1"/>
        <rFont val="Tw Cen MT"/>
        <family val="2"/>
      </rPr>
      <t>Institute Portal online practice</t>
    </r>
    <r>
      <rPr>
        <sz val="11"/>
        <color theme="1"/>
        <rFont val="Tw Cen MT"/>
        <family val="2"/>
      </rPr>
      <t xml:space="preserve">.
</t>
    </r>
    <r>
      <rPr>
        <b/>
        <sz val="11"/>
        <color theme="1"/>
        <rFont val="Tw Cen MT"/>
        <family val="2"/>
      </rPr>
      <t>5</t>
    </r>
    <r>
      <rPr>
        <sz val="11"/>
        <color theme="1"/>
        <rFont val="Tw Cen MT"/>
        <family val="2"/>
      </rPr>
      <t xml:space="preserve">. Make sure you complete the Institute Material EOC and Schweser EOC, Class Test Book(Subject wise), Institute Portal online practice, and also the </t>
    </r>
    <r>
      <rPr>
        <b/>
        <sz val="11"/>
        <color theme="1"/>
        <rFont val="Tw Cen MT"/>
        <family val="2"/>
      </rPr>
      <t>Practice Book</t>
    </r>
    <r>
      <rPr>
        <sz val="11"/>
        <color theme="1"/>
        <rFont val="Tw Cen MT"/>
        <family val="2"/>
      </rPr>
      <t xml:space="preserve"> during Revision. Schweser Practice Papers (2 Mock books with 6 mock papers) is optional. Better to focus on Institute practice resources.</t>
    </r>
  </si>
  <si>
    <r>
      <t xml:space="preserve">Rate on the Scale of </t>
    </r>
    <r>
      <rPr>
        <b/>
        <sz val="11"/>
        <color theme="1"/>
        <rFont val="Tw Cen MT"/>
        <family val="2"/>
      </rPr>
      <t>1 (Low) to 5 (High</t>
    </r>
    <r>
      <rPr>
        <sz val="11"/>
        <color theme="1"/>
        <rFont val="Tw Cen MT"/>
        <family val="2"/>
      </rPr>
      <t xml:space="preserve">). While revising make sure you give more time to topics in which you have low confidence level. </t>
    </r>
  </si>
  <si>
    <t>Numerical or 
Non-Numerical</t>
  </si>
  <si>
    <t>Importance Level</t>
  </si>
  <si>
    <r>
      <t xml:space="preserve">You may </t>
    </r>
    <r>
      <rPr>
        <b/>
        <sz val="11"/>
        <color theme="1"/>
        <rFont val="Tw Cen MT"/>
        <family val="2"/>
      </rPr>
      <t>add anything here that you wish to remind yourself during revision</t>
    </r>
    <r>
      <rPr>
        <sz val="11"/>
        <color theme="1"/>
        <rFont val="Tw Cen MT"/>
        <family val="2"/>
      </rPr>
      <t>. For example: 'Made a lot of mistakes, revise practice questions also for this chapter' or 'revise this chapter with more time, I didn't study well', 'revise this chapter at the end, I have retention issues' or 'I know this chapter due to my work profile'.</t>
    </r>
  </si>
  <si>
    <t>PERFORMANCE TRACKER</t>
  </si>
  <si>
    <t>INPUT</t>
  </si>
  <si>
    <r>
      <t xml:space="preserve">Make sure you follow the lectures and </t>
    </r>
    <r>
      <rPr>
        <b/>
        <sz val="11"/>
        <color theme="1"/>
        <rFont val="Tw Cen MT"/>
        <family val="2"/>
      </rPr>
      <t>study in the order as provided</t>
    </r>
    <r>
      <rPr>
        <sz val="11"/>
        <color theme="1"/>
        <rFont val="Tw Cen MT"/>
        <family val="2"/>
      </rPr>
      <t>. There could be prerequisites across subjects, hence the particular order. Also, have tried alternating theory and practical subjects. I have kept subjects with more retention issues for the latter half. Also, have tried to keep an overlap between two subjects so if you are bored with one, you can study another. If you want you may complete one subject at a time as well.</t>
    </r>
  </si>
  <si>
    <t>Pricing and Valuation of Interest Rates and Other Swaps</t>
  </si>
  <si>
    <t>`</t>
  </si>
  <si>
    <t>The schedule is automatically updated with every passing day, telling you what you need to complete in the current week and the following weeks until your revision day starts based on you study hours.</t>
  </si>
  <si>
    <t>Your Name</t>
  </si>
  <si>
    <t>Working Capital and Liquidity</t>
  </si>
  <si>
    <t>Time Value of Money in Finance</t>
  </si>
  <si>
    <t>Portfolio Mathematics</t>
  </si>
  <si>
    <t>Simple Linear Regression</t>
  </si>
  <si>
    <t>Introduction to Big Data Techniques</t>
  </si>
  <si>
    <t>PR10</t>
  </si>
  <si>
    <t>Introduction to Business Cycles</t>
  </si>
  <si>
    <t>Introduction to Geopolitics</t>
  </si>
  <si>
    <t>The Behavioral Biases of Individuals</t>
  </si>
  <si>
    <t>Introduction to Risk Management</t>
  </si>
  <si>
    <t>Organizational Forms, Corporate Issuer Features, and Ownership</t>
  </si>
  <si>
    <t>Investors and Other Stakeholders</t>
  </si>
  <si>
    <t>Capital Investments and Capital Allocation</t>
  </si>
  <si>
    <t>Business Models</t>
  </si>
  <si>
    <t>Cash Flow Statements</t>
  </si>
  <si>
    <t>Introduction to Financial Statement Modeling</t>
  </si>
  <si>
    <t>Market Organization and Structure</t>
  </si>
  <si>
    <t>Industry and Competitive Analysis</t>
  </si>
  <si>
    <t>Fixed-Income Instrument Features</t>
  </si>
  <si>
    <t>Fixed-Income Cash Flows and Types</t>
  </si>
  <si>
    <t>Fixed-Income Issuance and Trading</t>
  </si>
  <si>
    <t>Fixed-Income Markets for Corporate Issuers</t>
  </si>
  <si>
    <t>Fixed-Income Markets for Government Issuers</t>
  </si>
  <si>
    <t>Credit Risk</t>
  </si>
  <si>
    <t>Credit Analysis for Government Issuers</t>
  </si>
  <si>
    <t>Credit Analysis for Corporate Issuers</t>
  </si>
  <si>
    <t>Real Estate and Infrastructure</t>
  </si>
  <si>
    <t>Natural Resources</t>
  </si>
  <si>
    <t>Hedge Funds</t>
  </si>
  <si>
    <t>Introduction to Digital Assets</t>
  </si>
  <si>
    <t>FSA</t>
  </si>
  <si>
    <t>Right click on the slicer and Refresh to update the graphs.</t>
  </si>
  <si>
    <r>
      <t xml:space="preserve">This gives a </t>
    </r>
    <r>
      <rPr>
        <b/>
        <sz val="11"/>
        <color theme="1"/>
        <rFont val="Tw Cen MT"/>
        <family val="2"/>
      </rPr>
      <t>rough idea about the duration of class lectures (doesnot include practice lecture) for each chapter</t>
    </r>
    <r>
      <rPr>
        <sz val="11"/>
        <color theme="1"/>
        <rFont val="Tw Cen MT"/>
        <family val="2"/>
      </rPr>
      <t>. May not be accurate, as we keep adding lectures, practice, etc. There could be a new chapter not yet covered and shared with you yet, we take an average of 3 hours for such chapters. It gives you a fair estimate though. Please do not worry, any lecture added later or shared is informed via WhatsApp to all students. Also, it does not include the time required for studying, Exam Mentoring lectures, etc.</t>
    </r>
  </si>
  <si>
    <t>Multiple chapters have been categorized under different subjects. It is important to understand the groupings as exam question weightages and scores are provided on a subject wise basis. You cannot leave any subject.
PR refers to Pre-requisites not testable in the exam but concepts needed to understand other topics.</t>
  </si>
  <si>
    <t>Cum. Undone hrs</t>
  </si>
  <si>
    <t>Undone hrs</t>
  </si>
  <si>
    <t>Alt. Invest.</t>
  </si>
  <si>
    <t>No. of LOS2</t>
  </si>
  <si>
    <t>12,PR8</t>
  </si>
  <si>
    <t>13,PR11</t>
  </si>
  <si>
    <t>14,15,PR12</t>
  </si>
  <si>
    <t>17,PR13</t>
  </si>
  <si>
    <t>18,19,PR14</t>
  </si>
  <si>
    <t>12,PR9</t>
  </si>
  <si>
    <t>90 to 91</t>
  </si>
  <si>
    <t>01,PR1</t>
  </si>
  <si>
    <t>03,PR2</t>
  </si>
  <si>
    <t>04,PR3</t>
  </si>
  <si>
    <t>06,PR4,PR7</t>
  </si>
  <si>
    <t>07,PR5</t>
  </si>
  <si>
    <t>08,PR6</t>
  </si>
  <si>
    <t>AI-Methods, Structures, Performance and Returns</t>
  </si>
  <si>
    <t>Investments in Private Capital-Equity and Debt</t>
  </si>
  <si>
    <t>Corporate Governance-Conflicts, Mechanisms, Risks, and Benefits</t>
  </si>
  <si>
    <t>Forwards and Futures</t>
  </si>
  <si>
    <t>Options</t>
  </si>
  <si>
    <t>Demand and Supply, Market Structures</t>
  </si>
  <si>
    <t>Currency Exchange Rate</t>
  </si>
  <si>
    <t>Market Organization and Structures</t>
  </si>
  <si>
    <t>Company Analysis-Past and Present</t>
  </si>
  <si>
    <t>Company Analysis-Forecasting</t>
  </si>
  <si>
    <t>Equity Valuation-Concepts and Basic Tools</t>
  </si>
  <si>
    <t>Ethics-Standards and Guidance</t>
  </si>
  <si>
    <t>Introduction to the Global Investment Performance Standards</t>
  </si>
  <si>
    <t>Financial Statement Reporting and Analysis</t>
  </si>
  <si>
    <t>Income Statement and Balance Sheet</t>
  </si>
  <si>
    <t>Long Lived Assets</t>
  </si>
  <si>
    <t>Non Current LongTerm Liabilities</t>
  </si>
  <si>
    <t>Fixed Income Valuation</t>
  </si>
  <si>
    <t>Fixed Income Risk and Return</t>
  </si>
  <si>
    <t>Portfolio Management-An Overview</t>
  </si>
  <si>
    <t>The Time Value of Money</t>
  </si>
  <si>
    <t>Statistical Measures</t>
  </si>
  <si>
    <t>Probability</t>
  </si>
  <si>
    <t>Probability Distributions</t>
  </si>
  <si>
    <t>Sampling, Estimation, Inference</t>
  </si>
  <si>
    <t>Parametric and Non Parametric Tests of Independence</t>
  </si>
  <si>
    <r>
      <t xml:space="preserve">An indicator of the </t>
    </r>
    <r>
      <rPr>
        <b/>
        <sz val="11"/>
        <color theme="1"/>
        <rFont val="Tw Cen MT"/>
        <family val="2"/>
      </rPr>
      <t>number of subheads</t>
    </r>
    <r>
      <rPr>
        <sz val="11"/>
        <color theme="1"/>
        <rFont val="Tw Cen MT"/>
        <family val="2"/>
      </rPr>
      <t xml:space="preserve"> that the chapter has been divided into by the Institute. It approximately tells us the number of different concepts covered in a chapter and could be an indicator of the length of the chapter. Chapters that have been taught together shows the sum of all learning outcomes in the combined chapters.</t>
    </r>
  </si>
  <si>
    <t>Fixed-Income Securitization</t>
  </si>
  <si>
    <t>Asset-Backed Security Instrument and Market Features</t>
  </si>
  <si>
    <t>Mortgage-Backed Security Instrument and Market Features</t>
  </si>
  <si>
    <t>Portfolio-1 and 2</t>
  </si>
  <si>
    <t>Yield and Yield Spread Measures for Floating-Rate Instruments</t>
  </si>
  <si>
    <t>Portfolio Risk and Return-I and II</t>
  </si>
  <si>
    <t>Study</t>
  </si>
  <si>
    <t>Sum of No. of Chapters</t>
  </si>
  <si>
    <t>83-84</t>
  </si>
  <si>
    <t>27,PR15</t>
  </si>
  <si>
    <t>28,29,PR16,PR17</t>
  </si>
  <si>
    <t>30,31,PR18</t>
  </si>
  <si>
    <t>32,PR19</t>
  </si>
  <si>
    <t>33,PR20</t>
  </si>
  <si>
    <t>34,PR22</t>
  </si>
  <si>
    <t>35,PR21</t>
  </si>
  <si>
    <t>52,53,55</t>
  </si>
  <si>
    <t>56 to 59</t>
  </si>
  <si>
    <t>66 to 71</t>
  </si>
  <si>
    <t>73 to 75</t>
  </si>
  <si>
    <t>76,77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</si>
</sst>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164" formatCode="0;\-0;;@"/>
    <numFmt numFmtId="165" formatCode="[h]:mm"/>
    <numFmt numFmtId="166" formatCode="0\ &quot;days&quot;"/>
    <numFmt numFmtId="167" formatCode="0\ &quot;hrs&quot;"/>
    <numFmt numFmtId="168" formatCode="#,##0.0"/>
    <numFmt numFmtId="169" formatCode="[hh]:mm"/>
    <numFmt numFmtId="170" formatCode="0\ &quot;weeks&quot;"/>
    <numFmt numFmtId="171" formatCode="0.0\ &quot;hrs&quot;"/>
    <numFmt numFmtId="172" formatCode="0.0"/>
    <numFmt numFmtId="173" formatCode="0.0;\-0.0;;@"/>
    <numFmt numFmtId="174" formatCode="[hh]"/>
  </numFmts>
  <fonts count="79">
    <font>
      <sz val="11"/>
      <color theme="1"/>
      <name val="Calibri"/>
      <family val="2"/>
      <scheme val="minor"/>
    </font>
    <font>
      <sz val="11"/>
      <color theme="1"/>
      <name val="Calibri"/>
      <family val="2"/>
      <scheme val="minor"/>
    </font>
    <font>
      <sz val="11"/>
      <color rgb="FF000000"/>
      <name val="Calibri"/>
      <family val="2"/>
    </font>
    <font>
      <sz val="11"/>
      <color theme="1"/>
      <name val="Tw Cen MT"/>
      <family val="2"/>
    </font>
    <font>
      <b/>
      <sz val="12"/>
      <color theme="0"/>
      <name val="Tw Cen MT"/>
      <family val="2"/>
    </font>
    <font>
      <b/>
      <sz val="11"/>
      <color theme="0"/>
      <name val="Tw Cen MT"/>
      <family val="2"/>
    </font>
    <font>
      <b/>
      <sz val="24"/>
      <color theme="0"/>
      <name val="Tw Cen MT"/>
      <family val="2"/>
    </font>
    <font>
      <b/>
      <u/>
      <sz val="24"/>
      <name val="Tw Cen MT"/>
      <family val="2"/>
    </font>
    <font>
      <b/>
      <u/>
      <sz val="20"/>
      <name val="Tw Cen MT"/>
      <family val="2"/>
    </font>
    <font>
      <b/>
      <sz val="22"/>
      <color theme="4" tint="-0.499984740745262"/>
      <name val="Tw Cen MT"/>
      <family val="2"/>
    </font>
    <font>
      <b/>
      <sz val="11"/>
      <color theme="1"/>
      <name val="Tw Cen MT"/>
      <family val="2"/>
    </font>
    <font>
      <sz val="12"/>
      <color theme="1"/>
      <name val="Tw Cen MT"/>
      <family val="2"/>
    </font>
    <font>
      <b/>
      <sz val="12"/>
      <color theme="1"/>
      <name val="Tw Cen MT"/>
      <family val="2"/>
    </font>
    <font>
      <i/>
      <sz val="12"/>
      <color theme="1"/>
      <name val="Tw Cen MT"/>
      <family val="2"/>
    </font>
    <font>
      <sz val="12"/>
      <color theme="3" tint="0.39997558519241921"/>
      <name val="Tw Cen MT"/>
      <family val="2"/>
    </font>
    <font>
      <sz val="12"/>
      <name val="Tw Cen MT"/>
      <family val="2"/>
    </font>
    <font>
      <i/>
      <sz val="12"/>
      <color theme="0"/>
      <name val="Tw Cen MT"/>
      <family val="2"/>
    </font>
    <font>
      <i/>
      <sz val="12"/>
      <name val="Tw Cen MT"/>
      <family val="2"/>
    </font>
    <font>
      <b/>
      <sz val="14"/>
      <color rgb="FF000000"/>
      <name val="Tw Cen MT"/>
      <family val="2"/>
    </font>
    <font>
      <sz val="11"/>
      <color rgb="FF000000"/>
      <name val="Tw Cen MT"/>
      <family val="2"/>
    </font>
    <font>
      <sz val="14"/>
      <color theme="1"/>
      <name val="Tw Cen MT"/>
      <family val="2"/>
    </font>
    <font>
      <b/>
      <sz val="14"/>
      <color theme="1"/>
      <name val="Tw Cen MT"/>
      <family val="2"/>
    </font>
    <font>
      <sz val="14"/>
      <name val="Tw Cen MT"/>
      <family val="2"/>
    </font>
    <font>
      <sz val="12"/>
      <color theme="0"/>
      <name val="Tw Cen MT"/>
      <family val="2"/>
    </font>
    <font>
      <b/>
      <sz val="22"/>
      <color theme="0"/>
      <name val="Tw Cen MT"/>
      <family val="2"/>
    </font>
    <font>
      <b/>
      <sz val="14"/>
      <name val="Tw Cen MT"/>
      <family val="2"/>
    </font>
    <font>
      <i/>
      <sz val="12"/>
      <color rgb="FF000000"/>
      <name val="Tw Cen MT"/>
      <family val="2"/>
    </font>
    <font>
      <i/>
      <sz val="12"/>
      <color rgb="FFFF0000"/>
      <name val="Tw Cen MT"/>
      <family val="2"/>
    </font>
    <font>
      <b/>
      <sz val="12"/>
      <name val="Tw Cen MT"/>
      <family val="2"/>
    </font>
    <font>
      <b/>
      <sz val="18"/>
      <color theme="1"/>
      <name val="Tw Cen MT"/>
      <family val="2"/>
    </font>
    <font>
      <b/>
      <sz val="12"/>
      <color theme="0" tint="-0.34998626667073579"/>
      <name val="Tw Cen MT"/>
      <family val="2"/>
    </font>
    <font>
      <sz val="8"/>
      <name val="Calibri"/>
      <family val="2"/>
      <scheme val="minor"/>
    </font>
    <font>
      <b/>
      <sz val="9"/>
      <color indexed="81"/>
      <name val="Tw Cen MT"/>
      <family val="2"/>
    </font>
    <font>
      <sz val="9"/>
      <color indexed="81"/>
      <name val="Tw Cen MT"/>
      <family val="2"/>
    </font>
    <font>
      <sz val="9"/>
      <color indexed="81"/>
      <name val="Tahoma"/>
      <family val="2"/>
    </font>
    <font>
      <b/>
      <sz val="9"/>
      <color indexed="81"/>
      <name val="Tahoma"/>
      <family val="2"/>
    </font>
    <font>
      <sz val="11"/>
      <name val="Tw Cen MT"/>
      <family val="2"/>
    </font>
    <font>
      <i/>
      <sz val="14"/>
      <color rgb="FFFF0000"/>
      <name val="Tw Cen MT"/>
      <family val="2"/>
    </font>
    <font>
      <b/>
      <sz val="11"/>
      <color theme="2" tint="-0.499984740745262"/>
      <name val="Tw Cen MT"/>
      <family val="2"/>
    </font>
    <font>
      <b/>
      <i/>
      <sz val="16"/>
      <color rgb="FFFF0000"/>
      <name val="Tw Cen MT"/>
      <family val="2"/>
    </font>
    <font>
      <u/>
      <sz val="11"/>
      <color theme="10"/>
      <name val="Calibri"/>
      <family val="2"/>
      <scheme val="minor"/>
    </font>
    <font>
      <sz val="12"/>
      <color rgb="FFFF0000"/>
      <name val="Tw Cen MT"/>
      <family val="2"/>
    </font>
    <font>
      <sz val="14"/>
      <color rgb="FFFF0000"/>
      <name val="Tw Cen MT"/>
      <family val="2"/>
    </font>
    <font>
      <sz val="11"/>
      <color theme="2" tint="-0.249977111117893"/>
      <name val="Tw Cen MT"/>
      <family val="2"/>
    </font>
    <font>
      <b/>
      <sz val="22"/>
      <name val="Tw Cen MT"/>
      <family val="2"/>
    </font>
    <font>
      <sz val="12"/>
      <color theme="5" tint="0.79998168889431442"/>
      <name val="Tw Cen MT"/>
      <family val="2"/>
    </font>
    <font>
      <sz val="14"/>
      <color theme="5" tint="0.79998168889431442"/>
      <name val="Tw Cen MT"/>
      <family val="2"/>
    </font>
    <font>
      <i/>
      <sz val="12"/>
      <color theme="5" tint="0.79998168889431442"/>
      <name val="Tw Cen MT"/>
      <family val="2"/>
    </font>
    <font>
      <b/>
      <sz val="11"/>
      <color theme="0" tint="-0.34998626667073579"/>
      <name val="Tw Cen MT"/>
      <family val="2"/>
    </font>
    <font>
      <sz val="10"/>
      <color theme="1"/>
      <name val="Tw Cen MT"/>
      <family val="2"/>
    </font>
    <font>
      <b/>
      <sz val="10"/>
      <color theme="1"/>
      <name val="Tw Cen MT"/>
      <family val="2"/>
    </font>
    <font>
      <sz val="10"/>
      <color theme="0" tint="-0.249977111117893"/>
      <name val="Tw Cen MT"/>
      <family val="2"/>
    </font>
    <font>
      <b/>
      <sz val="10"/>
      <name val="Tw Cen MT"/>
      <family val="2"/>
    </font>
    <font>
      <sz val="10"/>
      <name val="Tw Cen MT"/>
      <family val="2"/>
    </font>
    <font>
      <sz val="9"/>
      <name val="Tw Cen MT"/>
      <family val="2"/>
    </font>
    <font>
      <b/>
      <sz val="12"/>
      <color rgb="FFFF0000"/>
      <name val="Tempus Sans ITC"/>
      <family val="5"/>
    </font>
    <font>
      <b/>
      <sz val="10"/>
      <color rgb="FFFF0000"/>
      <name val="Tempus Sans ITC"/>
      <family val="5"/>
    </font>
    <font>
      <i/>
      <sz val="11"/>
      <name val="Tw Cen MT"/>
      <family val="2"/>
    </font>
    <font>
      <sz val="20"/>
      <color theme="1"/>
      <name val="Tw Cen MT"/>
      <family val="2"/>
    </font>
    <font>
      <sz val="20"/>
      <name val="Tw Cen MT"/>
      <family val="2"/>
    </font>
    <font>
      <b/>
      <sz val="14"/>
      <color theme="0"/>
      <name val="Tw Cen MT"/>
      <family val="2"/>
    </font>
    <font>
      <i/>
      <sz val="14"/>
      <color theme="0" tint="-0.499984740745262"/>
      <name val="Tw Cen MT"/>
      <family val="2"/>
    </font>
    <font>
      <sz val="12"/>
      <color theme="0" tint="-0.499984740745262"/>
      <name val="Tw Cen MT"/>
      <family val="2"/>
    </font>
    <font>
      <b/>
      <sz val="12"/>
      <color theme="1" tint="0.249977111117893"/>
      <name val="Tw Cen MT"/>
      <family val="2"/>
    </font>
    <font>
      <sz val="18"/>
      <color theme="0"/>
      <name val="Tw Cen MT"/>
      <family val="2"/>
    </font>
    <font>
      <sz val="9"/>
      <color theme="1"/>
      <name val="Tw Cen MT"/>
      <family val="2"/>
    </font>
    <font>
      <sz val="8"/>
      <color theme="1"/>
      <name val="Tw Cen MT"/>
      <family val="2"/>
    </font>
    <font>
      <sz val="8"/>
      <color theme="1" tint="0.499984740745262"/>
      <name val="Tw Cen MT"/>
      <family val="2"/>
    </font>
    <font>
      <sz val="8"/>
      <color theme="1"/>
      <name val="ABeeZee"/>
      <family val="3"/>
    </font>
    <font>
      <sz val="8"/>
      <color rgb="FFFF6600"/>
      <name val="ABeeZee"/>
      <family val="3"/>
    </font>
    <font>
      <sz val="8"/>
      <name val="ABeeZee"/>
      <family val="3"/>
    </font>
    <font>
      <sz val="9"/>
      <color theme="5" tint="0.79998168889431442"/>
      <name val="Tw Cen MT"/>
      <family val="2"/>
    </font>
    <font>
      <sz val="16"/>
      <name val="Tw Cen MT"/>
      <family val="2"/>
    </font>
    <font>
      <b/>
      <sz val="20"/>
      <color theme="0"/>
      <name val="Tw Cen MT"/>
      <family val="2"/>
    </font>
    <font>
      <sz val="14"/>
      <color theme="1" tint="0.499984740745262"/>
      <name val="Tw Cen MT"/>
      <family val="2"/>
    </font>
    <font>
      <sz val="11"/>
      <color theme="1" tint="0.499984740745262"/>
      <name val="Tw Cen MT"/>
      <family val="2"/>
    </font>
    <font>
      <b/>
      <sz val="20"/>
      <color theme="5"/>
      <name val="Tw Cen MT"/>
      <family val="2"/>
    </font>
    <font>
      <sz val="10"/>
      <color rgb="FF000000"/>
      <name val="Arial"/>
      <family val="2"/>
    </font>
    <font>
      <sz val="10"/>
      <color rgb="FF000000"/>
      <name val="Times New Roman"/>
      <family val="1"/>
    </font>
  </fonts>
  <fills count="26">
    <fill>
      <patternFill patternType="none"/>
    </fill>
    <fill>
      <patternFill patternType="gray125"/>
    </fill>
    <fill>
      <patternFill patternType="solid">
        <fgColor theme="4" tint="0.79998168889431442"/>
        <bgColor indexed="65"/>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5" tint="0.59999389629810485"/>
        <bgColor indexed="64"/>
      </patternFill>
    </fill>
    <fill>
      <patternFill patternType="solid">
        <fgColor rgb="FFEC7524"/>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2"/>
        <bgColor indexed="64"/>
      </patternFill>
    </fill>
    <fill>
      <patternFill patternType="solid">
        <fgColor rgb="FFF4AD7C"/>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rgb="FFFF7979"/>
        <bgColor indexed="64"/>
      </patternFill>
    </fill>
    <fill>
      <patternFill patternType="solid">
        <fgColor rgb="FFFFA3A3"/>
        <bgColor indexed="64"/>
      </patternFill>
    </fill>
    <fill>
      <patternFill patternType="solid">
        <fgColor theme="9" tint="0.59999389629810485"/>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rgb="FFFF6600"/>
        <bgColor indexed="64"/>
      </patternFill>
    </fill>
    <fill>
      <patternFill patternType="solid">
        <fgColor rgb="FFFFF3EB"/>
        <bgColor indexed="64"/>
      </patternFill>
    </fill>
    <fill>
      <patternFill patternType="solid">
        <fgColor theme="4" tint="0.39997558519241921"/>
        <bgColor indexed="64"/>
      </patternFill>
    </fill>
  </fills>
  <borders count="4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top style="thin">
        <color theme="0" tint="-0.499984740745262"/>
      </top>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left>
      <right style="thin">
        <color theme="0"/>
      </right>
      <top style="thin">
        <color theme="0"/>
      </top>
      <bottom/>
      <diagonal/>
    </border>
    <border>
      <left style="thick">
        <color theme="0"/>
      </left>
      <right/>
      <top/>
      <bottom style="thick">
        <color theme="5" tint="0.79998168889431442"/>
      </bottom>
      <diagonal/>
    </border>
    <border>
      <left style="thick">
        <color theme="0"/>
      </left>
      <right/>
      <top/>
      <bottom/>
      <diagonal/>
    </border>
    <border>
      <left style="thick">
        <color theme="0"/>
      </left>
      <right style="thick">
        <color theme="0"/>
      </right>
      <top/>
      <bottom/>
      <diagonal/>
    </border>
    <border>
      <left/>
      <right style="thick">
        <color theme="5" tint="0.79998168889431442"/>
      </right>
      <top/>
      <bottom/>
      <diagonal/>
    </border>
    <border>
      <left style="thin">
        <color theme="0"/>
      </left>
      <right style="thin">
        <color theme="0"/>
      </right>
      <top style="thin">
        <color theme="0"/>
      </top>
      <bottom style="thin">
        <color theme="0"/>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ck">
        <color theme="5" tint="0.79998168889431442"/>
      </left>
      <right style="thick">
        <color theme="5" tint="0.79998168889431442"/>
      </right>
      <top style="thick">
        <color theme="5" tint="0.79998168889431442"/>
      </top>
      <bottom style="thick">
        <color theme="5" tint="0.7999816888943144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ck">
        <color theme="5" tint="0.79998168889431442"/>
      </left>
      <right/>
      <top style="thin">
        <color theme="0"/>
      </top>
      <bottom style="thick">
        <color theme="5" tint="0.79998168889431442"/>
      </bottom>
      <diagonal/>
    </border>
    <border>
      <left/>
      <right/>
      <top style="thin">
        <color theme="0"/>
      </top>
      <bottom style="thick">
        <color theme="5" tint="0.79998168889431442"/>
      </bottom>
      <diagonal/>
    </border>
    <border>
      <left style="thick">
        <color theme="0"/>
      </left>
      <right style="thick">
        <color theme="0"/>
      </right>
      <top/>
      <bottom style="thin">
        <color theme="0"/>
      </bottom>
      <diagonal/>
    </border>
    <border>
      <left style="thick">
        <color rgb="FFFF6600"/>
      </left>
      <right style="thin">
        <color rgb="FFFF4747"/>
      </right>
      <top/>
      <bottom/>
      <diagonal/>
    </border>
    <border>
      <left style="thick">
        <color rgb="FFFF6600"/>
      </left>
      <right style="thick">
        <color rgb="FFFF6600"/>
      </right>
      <top style="thick">
        <color rgb="FFFF6600"/>
      </top>
      <bottom style="thick">
        <color rgb="FFFF6600"/>
      </bottom>
      <diagonal/>
    </border>
    <border>
      <left style="thick">
        <color rgb="FFFF6600"/>
      </left>
      <right/>
      <top style="thick">
        <color rgb="FFFF6600"/>
      </top>
      <bottom style="thick">
        <color rgb="FFFF6600"/>
      </bottom>
      <diagonal/>
    </border>
    <border>
      <left style="thick">
        <color theme="5" tint="0.79998168889431442"/>
      </left>
      <right/>
      <top style="thick">
        <color theme="5" tint="0.79998168889431442"/>
      </top>
      <bottom/>
      <diagonal/>
    </border>
    <border>
      <left/>
      <right style="thick">
        <color theme="5" tint="0.79998168889431442"/>
      </right>
      <top style="thick">
        <color theme="5" tint="0.79998168889431442"/>
      </top>
      <bottom/>
      <diagonal/>
    </border>
    <border>
      <left style="thick">
        <color theme="5" tint="0.79998168889431442"/>
      </left>
      <right/>
      <top/>
      <bottom/>
      <diagonal/>
    </border>
    <border>
      <left style="thick">
        <color theme="5" tint="0.79998168889431442"/>
      </left>
      <right/>
      <top/>
      <bottom style="thick">
        <color theme="5" tint="0.79998168889431442"/>
      </bottom>
      <diagonal/>
    </border>
    <border>
      <left/>
      <right style="thick">
        <color theme="5" tint="0.79998168889431442"/>
      </right>
      <top/>
      <bottom style="thick">
        <color theme="5" tint="0.79998168889431442"/>
      </bottom>
      <diagonal/>
    </border>
    <border>
      <left style="thick">
        <color theme="0"/>
      </left>
      <right/>
      <top style="thick">
        <color theme="5" tint="0.79998168889431442"/>
      </top>
      <bottom style="thin">
        <color theme="0"/>
      </bottom>
      <diagonal/>
    </border>
    <border>
      <left style="thick">
        <color theme="0"/>
      </left>
      <right/>
      <top style="thin">
        <color theme="0"/>
      </top>
      <bottom/>
      <diagonal/>
    </border>
    <border>
      <left/>
      <right/>
      <top style="thick">
        <color theme="5" tint="0.79998168889431442"/>
      </top>
      <bottom style="thick">
        <color theme="5" tint="0.79998168889431442"/>
      </bottom>
      <diagonal/>
    </border>
    <border>
      <left/>
      <right/>
      <top style="thin">
        <color indexed="64"/>
      </top>
      <bottom/>
      <diagonal/>
    </border>
    <border>
      <left/>
      <right style="thick">
        <color theme="0"/>
      </right>
      <top/>
      <bottom/>
      <diagonal/>
    </border>
    <border>
      <left/>
      <right style="thick">
        <color theme="0"/>
      </right>
      <top/>
      <bottom style="thick">
        <color theme="5" tint="0.79998168889431442"/>
      </bottom>
      <diagonal/>
    </border>
    <border>
      <left style="thick">
        <color theme="5" tint="0.79998168889431442"/>
      </left>
      <right/>
      <top style="thick">
        <color theme="5" tint="0.79998168889431442"/>
      </top>
      <bottom style="thick">
        <color theme="5" tint="0.79998168889431442"/>
      </bottom>
      <diagonal/>
    </border>
    <border>
      <left/>
      <right style="thick">
        <color theme="5" tint="0.79998168889431442"/>
      </right>
      <top style="thick">
        <color theme="5" tint="0.79998168889431442"/>
      </top>
      <bottom style="thick">
        <color theme="5" tint="0.79998168889431442"/>
      </bottom>
      <diagonal/>
    </border>
    <border>
      <left/>
      <right/>
      <top style="thick">
        <color theme="0"/>
      </top>
      <bottom/>
      <diagonal/>
    </border>
  </borders>
  <cellStyleXfs count="8">
    <xf numFmtId="0" fontId="0" fillId="0" borderId="0"/>
    <xf numFmtId="0" fontId="1" fillId="2" borderId="0" applyNumberFormat="0" applyBorder="0" applyAlignment="0" applyProtection="0"/>
    <xf numFmtId="0" fontId="2" fillId="0" borderId="0"/>
    <xf numFmtId="9" fontId="1" fillId="0" borderId="0" applyFont="0" applyFill="0" applyBorder="0" applyAlignment="0" applyProtection="0"/>
    <xf numFmtId="0" fontId="40" fillId="0" borderId="0" applyNumberFormat="0" applyFill="0" applyBorder="0" applyAlignment="0" applyProtection="0"/>
    <xf numFmtId="0" fontId="77" fillId="0" borderId="0"/>
    <xf numFmtId="0" fontId="1" fillId="0" borderId="0"/>
    <xf numFmtId="0" fontId="78" fillId="0" borderId="0"/>
  </cellStyleXfs>
  <cellXfs count="328">
    <xf numFmtId="0" fontId="0" fillId="0" borderId="0" xfId="0"/>
    <xf numFmtId="0" fontId="3" fillId="3" borderId="0" xfId="0" applyFont="1" applyFill="1"/>
    <xf numFmtId="0" fontId="3" fillId="0" borderId="2" xfId="0" applyFont="1" applyBorder="1" applyAlignment="1">
      <alignment horizontal="center" vertical="center" wrapText="1"/>
    </xf>
    <xf numFmtId="3" fontId="3" fillId="0" borderId="2" xfId="0" applyNumberFormat="1" applyFont="1" applyBorder="1" applyAlignment="1">
      <alignment horizontal="center" vertical="center"/>
    </xf>
    <xf numFmtId="0" fontId="12" fillId="6" borderId="0" xfId="0" applyFont="1" applyFill="1"/>
    <xf numFmtId="0" fontId="12" fillId="7" borderId="0" xfId="0" applyFont="1" applyFill="1"/>
    <xf numFmtId="0" fontId="12" fillId="8" borderId="0" xfId="0" applyFont="1" applyFill="1"/>
    <xf numFmtId="0" fontId="12" fillId="9" borderId="0" xfId="0" applyFont="1" applyFill="1"/>
    <xf numFmtId="0" fontId="4" fillId="10" borderId="1" xfId="0" applyFont="1" applyFill="1" applyBorder="1" applyAlignment="1">
      <alignment horizontal="center" vertical="center" wrapText="1"/>
    </xf>
    <xf numFmtId="169" fontId="28" fillId="0" borderId="2" xfId="0" applyNumberFormat="1" applyFont="1" applyBorder="1" applyAlignment="1">
      <alignment horizontal="center" vertical="center" wrapText="1"/>
    </xf>
    <xf numFmtId="0" fontId="30" fillId="4" borderId="2" xfId="0" applyFont="1" applyFill="1" applyBorder="1" applyAlignment="1">
      <alignment horizontal="center" vertical="center" wrapText="1"/>
    </xf>
    <xf numFmtId="20" fontId="13" fillId="0" borderId="3" xfId="0" applyNumberFormat="1" applyFont="1" applyBorder="1" applyAlignment="1">
      <alignment horizontal="center" vertical="center" wrapText="1"/>
    </xf>
    <xf numFmtId="20" fontId="26" fillId="0" borderId="3" xfId="0" applyNumberFormat="1" applyFont="1" applyBorder="1" applyAlignment="1">
      <alignment horizontal="center" vertical="center" wrapText="1"/>
    </xf>
    <xf numFmtId="20" fontId="17" fillId="0" borderId="3" xfId="0" applyNumberFormat="1" applyFont="1" applyBorder="1" applyAlignment="1">
      <alignment horizontal="center" vertical="center" wrapText="1"/>
    </xf>
    <xf numFmtId="20" fontId="13" fillId="0" borderId="3" xfId="0" applyNumberFormat="1" applyFont="1" applyBorder="1" applyAlignment="1">
      <alignment horizontal="center" vertical="center"/>
    </xf>
    <xf numFmtId="169" fontId="15" fillId="0" borderId="2" xfId="0" applyNumberFormat="1" applyFont="1" applyBorder="1" applyAlignment="1">
      <alignment horizontal="center" vertical="center" wrapText="1"/>
    </xf>
    <xf numFmtId="0" fontId="5" fillId="3" borderId="3" xfId="0" applyFont="1" applyFill="1" applyBorder="1" applyAlignment="1">
      <alignment horizontal="center" vertical="center" wrapText="1"/>
    </xf>
    <xf numFmtId="17" fontId="3" fillId="0" borderId="2" xfId="0" applyNumberFormat="1" applyFont="1" applyBorder="1" applyAlignment="1" applyProtection="1">
      <alignment horizontal="center" vertical="center"/>
      <protection locked="0"/>
    </xf>
    <xf numFmtId="17" fontId="3" fillId="0" borderId="1" xfId="0" applyNumberFormat="1" applyFont="1" applyBorder="1" applyAlignment="1" applyProtection="1">
      <alignment horizontal="center" vertical="center"/>
      <protection locked="0"/>
    </xf>
    <xf numFmtId="17" fontId="3" fillId="0" borderId="6" xfId="0" applyNumberFormat="1" applyFont="1" applyBorder="1" applyAlignment="1" applyProtection="1">
      <alignment horizontal="center" vertical="center"/>
      <protection locked="0"/>
    </xf>
    <xf numFmtId="9" fontId="12" fillId="0" borderId="2" xfId="0" applyNumberFormat="1" applyFont="1" applyBorder="1" applyAlignment="1">
      <alignment horizontal="center" vertical="center" wrapText="1"/>
    </xf>
    <xf numFmtId="9" fontId="11" fillId="0" borderId="2" xfId="0" applyNumberFormat="1" applyFont="1" applyBorder="1" applyAlignment="1">
      <alignment horizontal="center" vertical="center" wrapText="1"/>
    </xf>
    <xf numFmtId="0" fontId="5" fillId="3" borderId="7" xfId="0" applyFont="1" applyFill="1" applyBorder="1" applyAlignment="1">
      <alignment horizontal="center" vertical="center" wrapText="1"/>
    </xf>
    <xf numFmtId="0" fontId="12" fillId="5" borderId="0" xfId="0" applyFont="1" applyFill="1"/>
    <xf numFmtId="0" fontId="12" fillId="15" borderId="0" xfId="0" applyFont="1" applyFill="1"/>
    <xf numFmtId="0" fontId="12" fillId="14" borderId="0" xfId="0" applyFont="1" applyFill="1"/>
    <xf numFmtId="20" fontId="17" fillId="0" borderId="2" xfId="0" applyNumberFormat="1" applyFont="1" applyBorder="1" applyAlignment="1">
      <alignment horizontal="center" vertical="center" wrapText="1"/>
    </xf>
    <xf numFmtId="17" fontId="43" fillId="0" borderId="2" xfId="0" applyNumberFormat="1" applyFont="1" applyBorder="1" applyAlignment="1" applyProtection="1">
      <alignment horizontal="center" vertical="center"/>
      <protection locked="0"/>
    </xf>
    <xf numFmtId="0" fontId="11" fillId="16" borderId="0" xfId="0" applyFont="1" applyFill="1"/>
    <xf numFmtId="0" fontId="14" fillId="16" borderId="0" xfId="0" applyFont="1" applyFill="1"/>
    <xf numFmtId="0" fontId="15" fillId="16" borderId="0" xfId="0" applyFont="1" applyFill="1"/>
    <xf numFmtId="0" fontId="20" fillId="16" borderId="0" xfId="0" applyFont="1" applyFill="1"/>
    <xf numFmtId="0" fontId="41" fillId="16" borderId="0" xfId="0" applyFont="1" applyFill="1"/>
    <xf numFmtId="0" fontId="22" fillId="16" borderId="0" xfId="0" applyFont="1" applyFill="1"/>
    <xf numFmtId="0" fontId="42" fillId="16" borderId="0" xfId="0" applyFont="1" applyFill="1"/>
    <xf numFmtId="0" fontId="45" fillId="16" borderId="0" xfId="0" applyFont="1" applyFill="1"/>
    <xf numFmtId="164" fontId="45" fillId="16" borderId="0" xfId="0" applyNumberFormat="1" applyFont="1" applyFill="1"/>
    <xf numFmtId="0" fontId="46" fillId="16" borderId="0" xfId="0" applyFont="1" applyFill="1"/>
    <xf numFmtId="0" fontId="47" fillId="16" borderId="0" xfId="0" applyFont="1" applyFill="1" applyAlignment="1">
      <alignment horizontal="left" vertical="center" wrapText="1"/>
    </xf>
    <xf numFmtId="0" fontId="16" fillId="16" borderId="0" xfId="0" applyFont="1" applyFill="1" applyAlignment="1">
      <alignment horizontal="left" vertical="center" wrapText="1"/>
    </xf>
    <xf numFmtId="0" fontId="3" fillId="16" borderId="0" xfId="0" applyFont="1" applyFill="1"/>
    <xf numFmtId="0" fontId="3" fillId="16" borderId="0" xfId="0" applyFont="1" applyFill="1" applyAlignment="1">
      <alignment wrapText="1"/>
    </xf>
    <xf numFmtId="3" fontId="13" fillId="0" borderId="2" xfId="0" applyNumberFormat="1" applyFont="1" applyBorder="1" applyAlignment="1">
      <alignment horizontal="center" vertical="center" wrapText="1"/>
    </xf>
    <xf numFmtId="0" fontId="48" fillId="3" borderId="3" xfId="0" applyFont="1" applyFill="1" applyBorder="1" applyAlignment="1">
      <alignment horizontal="center" vertical="center" wrapText="1"/>
    </xf>
    <xf numFmtId="0" fontId="3" fillId="4" borderId="2" xfId="0" applyFont="1" applyFill="1" applyBorder="1" applyAlignment="1">
      <alignment vertical="center" wrapText="1"/>
    </xf>
    <xf numFmtId="169" fontId="25" fillId="4" borderId="2" xfId="0" applyNumberFormat="1" applyFont="1" applyFill="1" applyBorder="1" applyAlignment="1">
      <alignment horizontal="center" vertical="center" wrapText="1"/>
    </xf>
    <xf numFmtId="9" fontId="25" fillId="4" borderId="2" xfId="0" applyNumberFormat="1" applyFont="1" applyFill="1" applyBorder="1" applyAlignment="1">
      <alignment horizontal="center" vertical="center" wrapText="1"/>
    </xf>
    <xf numFmtId="3" fontId="25" fillId="4" borderId="2" xfId="0" applyNumberFormat="1" applyFont="1" applyFill="1" applyBorder="1" applyAlignment="1">
      <alignment horizontal="center" vertical="center" wrapText="1"/>
    </xf>
    <xf numFmtId="0" fontId="25" fillId="4" borderId="2" xfId="0" applyFont="1" applyFill="1" applyBorder="1" applyAlignment="1">
      <alignment horizontal="center" vertical="center" wrapText="1"/>
    </xf>
    <xf numFmtId="171" fontId="49" fillId="3" borderId="0" xfId="0" applyNumberFormat="1" applyFont="1" applyFill="1" applyAlignment="1" applyProtection="1">
      <alignment horizontal="center" vertical="center" wrapText="1"/>
      <protection locked="0"/>
    </xf>
    <xf numFmtId="166" fontId="49" fillId="3" borderId="0" xfId="0" applyNumberFormat="1" applyFont="1" applyFill="1" applyAlignment="1" applyProtection="1">
      <alignment horizontal="center" vertical="center" wrapText="1"/>
      <protection locked="0"/>
    </xf>
    <xf numFmtId="0" fontId="7" fillId="16" borderId="0" xfId="2" applyFont="1" applyFill="1" applyAlignment="1">
      <alignment horizontal="left"/>
    </xf>
    <xf numFmtId="0" fontId="8" fillId="16" borderId="0" xfId="0" applyFont="1" applyFill="1" applyAlignment="1">
      <alignment horizontal="left"/>
    </xf>
    <xf numFmtId="0" fontId="8" fillId="16" borderId="0" xfId="0" applyFont="1" applyFill="1" applyAlignment="1">
      <alignment horizontal="left" wrapText="1"/>
    </xf>
    <xf numFmtId="21" fontId="3" fillId="16" borderId="0" xfId="0" applyNumberFormat="1" applyFont="1" applyFill="1"/>
    <xf numFmtId="0" fontId="44" fillId="16" borderId="0" xfId="0" applyFont="1" applyFill="1" applyAlignment="1">
      <alignment horizontal="center" vertical="center"/>
    </xf>
    <xf numFmtId="0" fontId="42" fillId="16" borderId="0" xfId="0" applyFont="1" applyFill="1" applyAlignment="1">
      <alignment vertical="center" wrapText="1"/>
    </xf>
    <xf numFmtId="0" fontId="24" fillId="16" borderId="0" xfId="0" applyFont="1" applyFill="1" applyAlignment="1">
      <alignment vertical="center" wrapText="1"/>
    </xf>
    <xf numFmtId="0" fontId="29" fillId="16" borderId="0" xfId="0" applyFont="1" applyFill="1" applyAlignment="1">
      <alignment vertical="center"/>
    </xf>
    <xf numFmtId="0" fontId="9" fillId="16" borderId="0" xfId="0" applyFont="1" applyFill="1" applyAlignment="1">
      <alignment vertical="center"/>
    </xf>
    <xf numFmtId="0" fontId="3" fillId="16" borderId="0" xfId="0" applyFont="1" applyFill="1" applyAlignment="1">
      <alignment vertical="center"/>
    </xf>
    <xf numFmtId="0" fontId="3" fillId="16" borderId="0" xfId="0" applyFont="1" applyFill="1" applyAlignment="1">
      <alignment horizontal="center" wrapText="1"/>
    </xf>
    <xf numFmtId="0" fontId="27" fillId="16" borderId="0" xfId="0" applyFont="1" applyFill="1" applyAlignment="1">
      <alignment vertical="center"/>
    </xf>
    <xf numFmtId="0" fontId="6" fillId="16" borderId="0" xfId="0" applyFont="1" applyFill="1" applyAlignment="1">
      <alignment vertical="center"/>
    </xf>
    <xf numFmtId="0" fontId="27" fillId="16" borderId="4" xfId="0" applyFont="1" applyFill="1" applyBorder="1" applyAlignment="1">
      <alignment vertical="center"/>
    </xf>
    <xf numFmtId="0" fontId="38" fillId="16" borderId="0" xfId="0" applyFont="1" applyFill="1" applyAlignment="1">
      <alignment horizontal="right" wrapText="1"/>
    </xf>
    <xf numFmtId="172" fontId="38" fillId="16" borderId="0" xfId="0" applyNumberFormat="1" applyFont="1" applyFill="1" applyAlignment="1">
      <alignment horizontal="center" wrapText="1"/>
    </xf>
    <xf numFmtId="169" fontId="38" fillId="16" borderId="0" xfId="0" applyNumberFormat="1" applyFont="1" applyFill="1" applyAlignment="1">
      <alignment horizontal="center" wrapText="1"/>
    </xf>
    <xf numFmtId="4" fontId="3" fillId="16" borderId="0" xfId="0" applyNumberFormat="1" applyFont="1" applyFill="1"/>
    <xf numFmtId="0" fontId="60" fillId="10" borderId="9" xfId="0" applyFont="1" applyFill="1" applyBorder="1" applyAlignment="1">
      <alignment vertical="center"/>
    </xf>
    <xf numFmtId="0" fontId="61" fillId="3" borderId="9" xfId="0" applyFont="1" applyFill="1" applyBorder="1" applyAlignment="1" applyProtection="1">
      <alignment horizontal="left" vertical="center" indent="2"/>
      <protection locked="0"/>
    </xf>
    <xf numFmtId="0" fontId="6" fillId="21" borderId="0" xfId="0" applyFont="1" applyFill="1" applyAlignment="1">
      <alignment vertical="center"/>
    </xf>
    <xf numFmtId="0" fontId="24" fillId="21" borderId="0" xfId="0" applyFont="1" applyFill="1" applyAlignment="1">
      <alignment vertical="center" wrapText="1"/>
    </xf>
    <xf numFmtId="0" fontId="24" fillId="21" borderId="0" xfId="0" applyFont="1" applyFill="1" applyAlignment="1">
      <alignment horizontal="right"/>
    </xf>
    <xf numFmtId="0" fontId="4" fillId="10" borderId="2" xfId="0" applyFont="1" applyFill="1" applyBorder="1" applyAlignment="1">
      <alignment horizontal="center" vertical="center" wrapText="1"/>
    </xf>
    <xf numFmtId="0" fontId="24" fillId="21" borderId="0" xfId="0" applyFont="1" applyFill="1" applyAlignment="1">
      <alignment vertical="center"/>
    </xf>
    <xf numFmtId="0" fontId="23" fillId="21" borderId="0" xfId="0" applyFont="1" applyFill="1"/>
    <xf numFmtId="9" fontId="12" fillId="0" borderId="0" xfId="0" applyNumberFormat="1" applyFont="1" applyAlignment="1">
      <alignment horizontal="center" vertical="center" wrapText="1"/>
    </xf>
    <xf numFmtId="164" fontId="22" fillId="16" borderId="0" xfId="0" applyNumberFormat="1" applyFont="1" applyFill="1"/>
    <xf numFmtId="9" fontId="45" fillId="16" borderId="0" xfId="0" applyNumberFormat="1" applyFont="1" applyFill="1"/>
    <xf numFmtId="170" fontId="11" fillId="0" borderId="2" xfId="0" applyNumberFormat="1" applyFont="1" applyBorder="1" applyAlignment="1">
      <alignment horizontal="center" vertical="center" wrapText="1"/>
    </xf>
    <xf numFmtId="166" fontId="11" fillId="0" borderId="2" xfId="0" applyNumberFormat="1" applyFont="1" applyBorder="1" applyAlignment="1">
      <alignment horizontal="center" vertical="center" wrapText="1"/>
    </xf>
    <xf numFmtId="4" fontId="11" fillId="0" borderId="2" xfId="0" applyNumberFormat="1" applyFont="1" applyBorder="1" applyAlignment="1">
      <alignment vertical="center" wrapText="1"/>
    </xf>
    <xf numFmtId="166" fontId="12" fillId="0" borderId="2" xfId="0" applyNumberFormat="1" applyFont="1" applyBorder="1" applyAlignment="1">
      <alignment horizontal="center" vertical="center" wrapText="1"/>
    </xf>
    <xf numFmtId="4" fontId="11" fillId="0" borderId="2" xfId="0" applyNumberFormat="1" applyFont="1" applyBorder="1" applyAlignment="1">
      <alignment vertical="center"/>
    </xf>
    <xf numFmtId="167" fontId="12" fillId="0" borderId="2" xfId="0" applyNumberFormat="1" applyFont="1" applyBorder="1" applyAlignment="1">
      <alignment horizontal="center" vertical="center" wrapText="1"/>
    </xf>
    <xf numFmtId="0" fontId="3" fillId="0" borderId="2" xfId="0" applyFont="1" applyBorder="1"/>
    <xf numFmtId="0" fontId="3" fillId="0" borderId="0" xfId="0" applyFont="1"/>
    <xf numFmtId="0" fontId="10" fillId="22" borderId="2" xfId="0" applyFont="1" applyFill="1" applyBorder="1" applyAlignment="1">
      <alignment horizontal="center" vertical="center"/>
    </xf>
    <xf numFmtId="0" fontId="10" fillId="22" borderId="2" xfId="0" applyFont="1" applyFill="1" applyBorder="1" applyAlignment="1">
      <alignment vertical="center"/>
    </xf>
    <xf numFmtId="4" fontId="11" fillId="0" borderId="2" xfId="0" applyNumberFormat="1" applyFont="1" applyBorder="1" applyAlignment="1">
      <alignment horizontal="left" vertical="center" indent="1"/>
    </xf>
    <xf numFmtId="169" fontId="15" fillId="0" borderId="0" xfId="0" applyNumberFormat="1" applyFont="1" applyAlignment="1">
      <alignment horizontal="center" vertical="center" wrapText="1"/>
    </xf>
    <xf numFmtId="15" fontId="3" fillId="0" borderId="25" xfId="0" applyNumberFormat="1" applyFont="1" applyBorder="1" applyAlignment="1">
      <alignment horizontal="center"/>
    </xf>
    <xf numFmtId="4" fontId="3" fillId="0" borderId="2" xfId="3" applyNumberFormat="1" applyFont="1" applyFill="1" applyBorder="1" applyAlignment="1">
      <alignment horizontal="center"/>
    </xf>
    <xf numFmtId="9" fontId="3" fillId="0" borderId="2" xfId="3" applyFont="1" applyFill="1" applyBorder="1" applyAlignment="1">
      <alignment horizontal="center"/>
    </xf>
    <xf numFmtId="9" fontId="3" fillId="0" borderId="2" xfId="0" applyNumberFormat="1" applyFont="1" applyBorder="1" applyAlignment="1">
      <alignment horizontal="center"/>
    </xf>
    <xf numFmtId="0" fontId="3" fillId="0" borderId="24" xfId="0" applyFont="1" applyBorder="1"/>
    <xf numFmtId="4" fontId="3" fillId="0" borderId="2" xfId="0" applyNumberFormat="1" applyFont="1" applyBorder="1" applyAlignment="1">
      <alignment horizontal="center"/>
    </xf>
    <xf numFmtId="3" fontId="28" fillId="0" borderId="0" xfId="0" applyNumberFormat="1" applyFont="1" applyAlignment="1">
      <alignment horizontal="center" vertical="center" wrapText="1"/>
    </xf>
    <xf numFmtId="15" fontId="3" fillId="0" borderId="26" xfId="0" applyNumberFormat="1" applyFont="1" applyBorder="1" applyAlignment="1">
      <alignment horizontal="center"/>
    </xf>
    <xf numFmtId="4" fontId="3" fillId="0" borderId="6" xfId="3" applyNumberFormat="1" applyFont="1" applyFill="1" applyBorder="1" applyAlignment="1" applyProtection="1">
      <alignment horizontal="center"/>
    </xf>
    <xf numFmtId="9" fontId="3" fillId="0" borderId="6" xfId="3" applyFont="1" applyFill="1" applyBorder="1" applyAlignment="1" applyProtection="1">
      <alignment horizontal="center"/>
    </xf>
    <xf numFmtId="9" fontId="3" fillId="0" borderId="6" xfId="0" applyNumberFormat="1" applyFont="1" applyBorder="1" applyAlignment="1">
      <alignment horizontal="center"/>
    </xf>
    <xf numFmtId="0" fontId="3" fillId="0" borderId="6" xfId="0" applyFont="1" applyBorder="1" applyAlignment="1">
      <alignment horizontal="center"/>
    </xf>
    <xf numFmtId="0" fontId="3" fillId="0" borderId="3" xfId="0" applyFont="1" applyBorder="1"/>
    <xf numFmtId="169" fontId="25" fillId="0" borderId="0" xfId="0" applyNumberFormat="1" applyFont="1" applyAlignment="1">
      <alignment horizontal="center" vertical="center" wrapText="1"/>
    </xf>
    <xf numFmtId="15" fontId="3" fillId="0" borderId="0" xfId="0" applyNumberFormat="1" applyFont="1" applyAlignment="1">
      <alignment horizontal="center"/>
    </xf>
    <xf numFmtId="4" fontId="3" fillId="0" borderId="0" xfId="3" applyNumberFormat="1" applyFont="1" applyFill="1" applyBorder="1" applyAlignment="1" applyProtection="1">
      <alignment horizontal="center"/>
    </xf>
    <xf numFmtId="9" fontId="3" fillId="0" borderId="0" xfId="3" applyFont="1" applyFill="1" applyBorder="1" applyAlignment="1" applyProtection="1">
      <alignment horizontal="center"/>
    </xf>
    <xf numFmtId="9" fontId="3" fillId="0" borderId="0" xfId="0" applyNumberFormat="1" applyFont="1" applyAlignment="1">
      <alignment horizontal="center"/>
    </xf>
    <xf numFmtId="0" fontId="3" fillId="0" borderId="0" xfId="0" applyFont="1" applyAlignment="1">
      <alignment horizontal="center"/>
    </xf>
    <xf numFmtId="0" fontId="28" fillId="22" borderId="2" xfId="0" applyFont="1" applyFill="1" applyBorder="1" applyAlignment="1">
      <alignment horizontal="left" vertical="center" indent="1"/>
    </xf>
    <xf numFmtId="0" fontId="28" fillId="22" borderId="2" xfId="0" applyFont="1" applyFill="1" applyBorder="1" applyAlignment="1">
      <alignment horizontal="center" vertical="center" wrapText="1"/>
    </xf>
    <xf numFmtId="0" fontId="11" fillId="0" borderId="2" xfId="0" applyFont="1" applyBorder="1" applyAlignment="1">
      <alignment horizontal="left" vertical="center" wrapText="1"/>
    </xf>
    <xf numFmtId="172" fontId="15" fillId="0" borderId="2" xfId="0" applyNumberFormat="1" applyFont="1" applyBorder="1" applyAlignment="1">
      <alignment horizontal="center" vertical="center" wrapText="1"/>
    </xf>
    <xf numFmtId="0" fontId="12" fillId="0" borderId="2" xfId="0" applyFont="1" applyBorder="1" applyAlignment="1">
      <alignment horizontal="left" vertical="center" wrapText="1"/>
    </xf>
    <xf numFmtId="0" fontId="11" fillId="0" borderId="2" xfId="0" quotePrefix="1" applyFont="1" applyBorder="1" applyAlignment="1">
      <alignment horizontal="left" vertical="center" wrapText="1" indent="1"/>
    </xf>
    <xf numFmtId="0" fontId="11" fillId="0" borderId="0" xfId="0" quotePrefix="1" applyFont="1" applyAlignment="1">
      <alignment horizontal="left" vertical="center" wrapText="1" indent="2"/>
    </xf>
    <xf numFmtId="9" fontId="11" fillId="0" borderId="0" xfId="0" applyNumberFormat="1" applyFont="1" applyAlignment="1">
      <alignment horizontal="center" vertical="center" wrapText="1"/>
    </xf>
    <xf numFmtId="0" fontId="10" fillId="0" borderId="2" xfId="0" applyFont="1" applyBorder="1"/>
    <xf numFmtId="9" fontId="3" fillId="0" borderId="2" xfId="0" applyNumberFormat="1" applyFont="1" applyBorder="1"/>
    <xf numFmtId="1" fontId="3" fillId="0" borderId="2" xfId="0" applyNumberFormat="1" applyFont="1" applyBorder="1"/>
    <xf numFmtId="3" fontId="3" fillId="0" borderId="2" xfId="0" applyNumberFormat="1" applyFont="1" applyBorder="1"/>
    <xf numFmtId="174" fontId="3" fillId="0" borderId="0" xfId="0" applyNumberFormat="1" applyFont="1"/>
    <xf numFmtId="0" fontId="3" fillId="0" borderId="0" xfId="0" pivotButton="1" applyFont="1"/>
    <xf numFmtId="0" fontId="3" fillId="0" borderId="0" xfId="0" applyFont="1" applyAlignment="1">
      <alignment horizontal="left"/>
    </xf>
    <xf numFmtId="3" fontId="28" fillId="0" borderId="2" xfId="0" applyNumberFormat="1" applyFont="1" applyBorder="1" applyAlignment="1">
      <alignment horizontal="center" vertical="center" wrapText="1"/>
    </xf>
    <xf numFmtId="4" fontId="28" fillId="0" borderId="0" xfId="0" applyNumberFormat="1" applyFont="1" applyAlignment="1">
      <alignment vertical="center"/>
    </xf>
    <xf numFmtId="4" fontId="15" fillId="0" borderId="0" xfId="0" applyNumberFormat="1" applyFont="1" applyAlignment="1">
      <alignment vertical="center"/>
    </xf>
    <xf numFmtId="0" fontId="36" fillId="0" borderId="0" xfId="0" applyFont="1"/>
    <xf numFmtId="4" fontId="15" fillId="0" borderId="0" xfId="0" applyNumberFormat="1" applyFont="1" applyAlignment="1">
      <alignment horizontal="left" vertical="center" indent="1"/>
    </xf>
    <xf numFmtId="169" fontId="28" fillId="0" borderId="0" xfId="0" applyNumberFormat="1" applyFont="1" applyAlignment="1">
      <alignment horizontal="center" vertical="center" wrapText="1"/>
    </xf>
    <xf numFmtId="168" fontId="15" fillId="0" borderId="2" xfId="0" applyNumberFormat="1" applyFont="1" applyBorder="1" applyAlignment="1">
      <alignment horizontal="center" vertical="center" wrapText="1"/>
    </xf>
    <xf numFmtId="9" fontId="3" fillId="0" borderId="0" xfId="0" applyNumberFormat="1" applyFont="1"/>
    <xf numFmtId="174" fontId="36" fillId="0" borderId="0" xfId="0" applyNumberFormat="1" applyFont="1" applyAlignment="1">
      <alignment horizontal="center" vertical="center" wrapText="1"/>
    </xf>
    <xf numFmtId="165" fontId="36" fillId="0" borderId="2" xfId="0" applyNumberFormat="1" applyFont="1" applyBorder="1" applyAlignment="1">
      <alignment horizontal="center" vertical="center" wrapText="1"/>
    </xf>
    <xf numFmtId="14" fontId="3" fillId="16" borderId="0" xfId="0" applyNumberFormat="1" applyFont="1" applyFill="1"/>
    <xf numFmtId="173" fontId="71" fillId="16" borderId="0" xfId="0" applyNumberFormat="1" applyFont="1" applyFill="1"/>
    <xf numFmtId="0" fontId="7" fillId="16" borderId="0" xfId="2" applyFont="1" applyFill="1"/>
    <xf numFmtId="0" fontId="3" fillId="24" borderId="13" xfId="0" applyFont="1" applyFill="1" applyBorder="1" applyAlignment="1">
      <alignment horizontal="center" vertical="center" wrapText="1"/>
    </xf>
    <xf numFmtId="0" fontId="3" fillId="24" borderId="8" xfId="0" applyFont="1" applyFill="1" applyBorder="1" applyAlignment="1">
      <alignment horizontal="center" vertical="center" wrapText="1"/>
    </xf>
    <xf numFmtId="0" fontId="3" fillId="24" borderId="11" xfId="0" applyFont="1" applyFill="1" applyBorder="1" applyAlignment="1">
      <alignment horizontal="center" vertical="center" wrapText="1"/>
    </xf>
    <xf numFmtId="0" fontId="3" fillId="24" borderId="9" xfId="0" applyFont="1" applyFill="1" applyBorder="1" applyAlignment="1">
      <alignment horizontal="center" vertical="center" wrapText="1"/>
    </xf>
    <xf numFmtId="0" fontId="3" fillId="24" borderId="14" xfId="0" applyFont="1" applyFill="1" applyBorder="1" applyAlignment="1">
      <alignment horizontal="center" vertical="center" wrapText="1"/>
    </xf>
    <xf numFmtId="0" fontId="3" fillId="24" borderId="0" xfId="0" applyFont="1" applyFill="1" applyAlignment="1">
      <alignment horizontal="center" vertical="center" wrapText="1"/>
    </xf>
    <xf numFmtId="0" fontId="57" fillId="16" borderId="0" xfId="4" applyFont="1" applyFill="1" applyAlignment="1" applyProtection="1">
      <alignment horizontal="left" vertical="center"/>
    </xf>
    <xf numFmtId="0" fontId="58" fillId="16" borderId="0" xfId="0" applyFont="1" applyFill="1"/>
    <xf numFmtId="0" fontId="73" fillId="21" borderId="0" xfId="0" applyFont="1" applyFill="1" applyAlignment="1">
      <alignment horizontal="right" vertical="center"/>
    </xf>
    <xf numFmtId="0" fontId="12" fillId="16" borderId="0" xfId="0" applyFont="1" applyFill="1" applyAlignment="1">
      <alignment vertical="center"/>
    </xf>
    <xf numFmtId="0" fontId="12" fillId="16" borderId="0" xfId="0" applyFont="1" applyFill="1"/>
    <xf numFmtId="169" fontId="0" fillId="0" borderId="2" xfId="0" applyNumberFormat="1" applyBorder="1" applyAlignment="1">
      <alignment horizontal="center" vertical="center" wrapText="1"/>
    </xf>
    <xf numFmtId="0" fontId="48" fillId="3" borderId="6" xfId="0" applyFont="1" applyFill="1" applyBorder="1" applyAlignment="1">
      <alignment horizontal="center" vertical="center" wrapText="1"/>
    </xf>
    <xf numFmtId="0" fontId="48" fillId="3" borderId="26" xfId="0" applyFont="1" applyFill="1" applyBorder="1" applyAlignment="1">
      <alignment horizontal="center" vertical="center" wrapText="1"/>
    </xf>
    <xf numFmtId="0" fontId="48" fillId="3" borderId="41" xfId="0" applyFont="1" applyFill="1" applyBorder="1" applyAlignment="1">
      <alignment horizontal="center" vertical="center" wrapText="1"/>
    </xf>
    <xf numFmtId="0" fontId="60" fillId="7" borderId="10" xfId="0" applyFont="1" applyFill="1" applyBorder="1" applyAlignment="1">
      <alignment horizontal="center" vertical="center" wrapText="1"/>
    </xf>
    <xf numFmtId="0" fontId="3" fillId="0" borderId="0" xfId="0" applyFont="1" applyAlignment="1">
      <alignment horizontal="center" vertical="center"/>
    </xf>
    <xf numFmtId="0" fontId="3" fillId="16" borderId="0" xfId="0" applyFont="1" applyFill="1" applyAlignment="1" applyProtection="1">
      <alignment vertical="center"/>
      <protection locked="0"/>
    </xf>
    <xf numFmtId="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48" fillId="3" borderId="3" xfId="0" applyFont="1" applyFill="1" applyBorder="1" applyAlignment="1" applyProtection="1">
      <alignment horizontal="center" vertical="center" wrapText="1"/>
      <protection locked="0"/>
    </xf>
    <xf numFmtId="0" fontId="15" fillId="10" borderId="16" xfId="0" applyFont="1" applyFill="1" applyBorder="1" applyAlignment="1">
      <alignment horizontal="center" vertical="center" wrapText="1"/>
    </xf>
    <xf numFmtId="0" fontId="15" fillId="13" borderId="16" xfId="0" applyFont="1" applyFill="1" applyBorder="1" applyAlignment="1">
      <alignment horizontal="center" vertical="center" wrapText="1"/>
    </xf>
    <xf numFmtId="0" fontId="15" fillId="5" borderId="16" xfId="0" applyFont="1" applyFill="1" applyBorder="1" applyAlignment="1">
      <alignment horizontal="center" vertical="center" wrapText="1"/>
    </xf>
    <xf numFmtId="0" fontId="15" fillId="15" borderId="16" xfId="0" applyFont="1" applyFill="1" applyBorder="1" applyAlignment="1">
      <alignment horizontal="center" vertical="center" wrapText="1"/>
    </xf>
    <xf numFmtId="0" fontId="19" fillId="0" borderId="22" xfId="0" applyFont="1" applyBorder="1"/>
    <xf numFmtId="165" fontId="3" fillId="0" borderId="22" xfId="0" applyNumberFormat="1" applyFont="1" applyBorder="1" applyAlignment="1">
      <alignment horizontal="center" vertical="center" wrapText="1"/>
    </xf>
    <xf numFmtId="165" fontId="10" fillId="0" borderId="22" xfId="0" applyNumberFormat="1" applyFont="1" applyBorder="1" applyAlignment="1">
      <alignment horizontal="center" vertical="center" wrapText="1"/>
    </xf>
    <xf numFmtId="164" fontId="3" fillId="0" borderId="22" xfId="0" applyNumberFormat="1" applyFont="1" applyBorder="1" applyAlignment="1">
      <alignment horizontal="center"/>
    </xf>
    <xf numFmtId="173" fontId="3" fillId="0" borderId="22" xfId="0" applyNumberFormat="1" applyFont="1" applyBorder="1" applyAlignment="1">
      <alignment horizontal="center"/>
    </xf>
    <xf numFmtId="164" fontId="10" fillId="0" borderId="22" xfId="0" applyNumberFormat="1" applyFont="1" applyBorder="1" applyAlignment="1">
      <alignment horizontal="center"/>
    </xf>
    <xf numFmtId="0" fontId="18" fillId="12" borderId="22" xfId="0" applyFont="1" applyFill="1" applyBorder="1"/>
    <xf numFmtId="165" fontId="21" fillId="12" borderId="22" xfId="0" applyNumberFormat="1" applyFont="1" applyFill="1" applyBorder="1" applyAlignment="1">
      <alignment horizontal="center" vertical="center" wrapText="1"/>
    </xf>
    <xf numFmtId="164" fontId="18" fillId="12" borderId="22" xfId="0" applyNumberFormat="1" applyFont="1" applyFill="1" applyBorder="1" applyAlignment="1">
      <alignment horizontal="center"/>
    </xf>
    <xf numFmtId="173" fontId="18" fillId="12" borderId="22" xfId="0" applyNumberFormat="1" applyFont="1" applyFill="1" applyBorder="1" applyAlignment="1">
      <alignment horizontal="center"/>
    </xf>
    <xf numFmtId="9" fontId="0" fillId="0" borderId="0" xfId="0" applyNumberFormat="1" applyAlignment="1">
      <alignment horizontal="center" vertical="center"/>
    </xf>
    <xf numFmtId="9" fontId="3" fillId="0" borderId="0" xfId="0" applyNumberFormat="1" applyFont="1" applyAlignment="1">
      <alignment horizontal="center" vertical="center" wrapText="1"/>
    </xf>
    <xf numFmtId="9" fontId="3" fillId="0" borderId="0" xfId="0" applyNumberFormat="1" applyFont="1" applyAlignment="1">
      <alignment horizontal="center" vertical="center"/>
    </xf>
    <xf numFmtId="4" fontId="3" fillId="0" borderId="0" xfId="0" applyNumberFormat="1" applyFont="1" applyAlignment="1">
      <alignment horizontal="center" vertical="center"/>
    </xf>
    <xf numFmtId="0" fontId="5" fillId="3" borderId="6" xfId="0" applyFont="1" applyFill="1" applyBorder="1" applyAlignment="1">
      <alignment horizontal="center" vertical="center" wrapText="1"/>
    </xf>
    <xf numFmtId="20" fontId="26" fillId="0" borderId="2" xfId="0" applyNumberFormat="1" applyFont="1" applyBorder="1" applyAlignment="1">
      <alignment horizontal="center" vertical="center" wrapText="1"/>
    </xf>
    <xf numFmtId="0" fontId="6" fillId="21" borderId="0" xfId="0" applyFont="1" applyFill="1" applyAlignment="1">
      <alignment vertical="center" wrapText="1"/>
    </xf>
    <xf numFmtId="0" fontId="27" fillId="16" borderId="0" xfId="0" applyFont="1" applyFill="1" applyAlignment="1">
      <alignment vertical="center" wrapText="1"/>
    </xf>
    <xf numFmtId="0" fontId="27" fillId="16" borderId="4" xfId="0" applyFont="1" applyFill="1" applyBorder="1" applyAlignment="1">
      <alignment vertical="center" wrapText="1"/>
    </xf>
    <xf numFmtId="3" fontId="43" fillId="0" borderId="2" xfId="0" applyNumberFormat="1" applyFont="1" applyBorder="1" applyAlignment="1">
      <alignment horizontal="center" vertical="center" wrapText="1"/>
    </xf>
    <xf numFmtId="164" fontId="46" fillId="16" borderId="0" xfId="0" applyNumberFormat="1" applyFont="1" applyFill="1"/>
    <xf numFmtId="0" fontId="11" fillId="16" borderId="46" xfId="0" applyFont="1" applyFill="1" applyBorder="1"/>
    <xf numFmtId="0" fontId="63" fillId="22" borderId="41" xfId="0" applyFont="1" applyFill="1" applyBorder="1" applyAlignment="1">
      <alignment vertical="center"/>
    </xf>
    <xf numFmtId="14" fontId="62" fillId="3" borderId="41" xfId="1" applyNumberFormat="1" applyFont="1" applyFill="1" applyBorder="1" applyAlignment="1" applyProtection="1">
      <alignment horizontal="left" vertical="center" indent="2"/>
      <protection locked="0"/>
    </xf>
    <xf numFmtId="0" fontId="63" fillId="22" borderId="4" xfId="0" applyFont="1" applyFill="1" applyBorder="1" applyAlignment="1">
      <alignment vertical="center"/>
    </xf>
    <xf numFmtId="14" fontId="62" fillId="3" borderId="4" xfId="1" applyNumberFormat="1" applyFont="1" applyFill="1" applyBorder="1" applyAlignment="1" applyProtection="1">
      <alignment horizontal="left" vertical="center" indent="2"/>
      <protection locked="0"/>
    </xf>
    <xf numFmtId="0" fontId="15" fillId="25" borderId="21" xfId="0" applyFont="1" applyFill="1" applyBorder="1" applyAlignment="1">
      <alignment horizontal="center" vertical="center" wrapText="1"/>
    </xf>
    <xf numFmtId="0" fontId="12" fillId="25" borderId="0" xfId="0" applyFont="1" applyFill="1"/>
    <xf numFmtId="0" fontId="65" fillId="16" borderId="0" xfId="0" applyFont="1" applyFill="1" applyAlignment="1" applyProtection="1">
      <alignment wrapText="1"/>
      <protection locked="0"/>
    </xf>
    <xf numFmtId="0" fontId="3" fillId="16" borderId="0" xfId="0" applyFont="1" applyFill="1" applyProtection="1">
      <protection locked="0"/>
    </xf>
    <xf numFmtId="0" fontId="21" fillId="3" borderId="0" xfId="0" applyFont="1" applyFill="1" applyAlignment="1" applyProtection="1">
      <alignment vertical="center"/>
      <protection locked="0"/>
    </xf>
    <xf numFmtId="0" fontId="3" fillId="3" borderId="0" xfId="0" applyFont="1" applyFill="1" applyProtection="1">
      <protection locked="0"/>
    </xf>
    <xf numFmtId="0" fontId="53" fillId="16" borderId="0" xfId="0" applyFont="1" applyFill="1" applyAlignment="1" applyProtection="1">
      <alignment vertical="center" wrapText="1"/>
      <protection locked="0"/>
    </xf>
    <xf numFmtId="4" fontId="49" fillId="3" borderId="0" xfId="0" applyNumberFormat="1" applyFont="1" applyFill="1" applyAlignment="1" applyProtection="1">
      <alignment vertical="center"/>
      <protection locked="0"/>
    </xf>
    <xf numFmtId="0" fontId="75" fillId="16" borderId="0" xfId="0" applyFont="1" applyFill="1" applyAlignment="1" applyProtection="1">
      <alignment horizontal="left"/>
      <protection locked="0"/>
    </xf>
    <xf numFmtId="0" fontId="3" fillId="16" borderId="0" xfId="0" applyFont="1" applyFill="1" applyAlignment="1" applyProtection="1">
      <alignment horizontal="left"/>
      <protection locked="0"/>
    </xf>
    <xf numFmtId="0" fontId="3" fillId="16" borderId="0" xfId="0" applyFont="1" applyFill="1" applyAlignment="1" applyProtection="1">
      <alignment wrapText="1"/>
      <protection locked="0"/>
    </xf>
    <xf numFmtId="0" fontId="53" fillId="16" borderId="0" xfId="0" applyFont="1" applyFill="1" applyAlignment="1" applyProtection="1">
      <alignment horizontal="left" vertical="center" wrapText="1"/>
      <protection locked="0"/>
    </xf>
    <xf numFmtId="171" fontId="49" fillId="16" borderId="0" xfId="0" applyNumberFormat="1" applyFont="1" applyFill="1" applyAlignment="1" applyProtection="1">
      <alignment horizontal="center" vertical="center" wrapText="1"/>
      <protection locked="0"/>
    </xf>
    <xf numFmtId="0" fontId="53" fillId="16" borderId="0" xfId="0" quotePrefix="1" applyFont="1" applyFill="1" applyProtection="1">
      <protection locked="0"/>
    </xf>
    <xf numFmtId="169" fontId="59" fillId="16" borderId="0" xfId="0" quotePrefix="1" applyNumberFormat="1" applyFont="1" applyFill="1" applyAlignment="1" applyProtection="1">
      <alignment horizontal="center" vertical="center" wrapText="1"/>
      <protection locked="0"/>
    </xf>
    <xf numFmtId="169" fontId="53" fillId="16" borderId="0" xfId="0" applyNumberFormat="1" applyFont="1" applyFill="1" applyAlignment="1" applyProtection="1">
      <alignment horizontal="center" vertical="center" wrapText="1"/>
      <protection locked="0"/>
    </xf>
    <xf numFmtId="9" fontId="53" fillId="16" borderId="0" xfId="3" applyFont="1" applyFill="1" applyBorder="1" applyAlignment="1" applyProtection="1">
      <alignment horizontal="center" vertical="center" wrapText="1"/>
      <protection locked="0"/>
    </xf>
    <xf numFmtId="0" fontId="58" fillId="16" borderId="0" xfId="0" applyFont="1" applyFill="1" applyAlignment="1" applyProtection="1">
      <alignment horizontal="right" vertical="center" wrapText="1"/>
      <protection locked="0"/>
    </xf>
    <xf numFmtId="9" fontId="3" fillId="16" borderId="0" xfId="0" applyNumberFormat="1" applyFont="1" applyFill="1" applyAlignment="1" applyProtection="1">
      <alignment wrapText="1"/>
      <protection locked="0"/>
    </xf>
    <xf numFmtId="0" fontId="21" fillId="16" borderId="0" xfId="0" applyFont="1" applyFill="1" applyAlignment="1" applyProtection="1">
      <alignment vertical="center"/>
      <protection locked="0"/>
    </xf>
    <xf numFmtId="0" fontId="50" fillId="16" borderId="0" xfId="0" applyFont="1" applyFill="1" applyProtection="1">
      <protection locked="0"/>
    </xf>
    <xf numFmtId="4" fontId="49" fillId="16" borderId="0" xfId="0" applyNumberFormat="1" applyFont="1" applyFill="1" applyAlignment="1" applyProtection="1">
      <alignment vertical="center"/>
      <protection locked="0"/>
    </xf>
    <xf numFmtId="0" fontId="3" fillId="17" borderId="0" xfId="0" applyFont="1" applyFill="1" applyProtection="1">
      <protection locked="0"/>
    </xf>
    <xf numFmtId="0" fontId="49" fillId="16" borderId="0" xfId="0" applyFont="1" applyFill="1" applyAlignment="1" applyProtection="1">
      <alignment vertical="center"/>
      <protection locked="0"/>
    </xf>
    <xf numFmtId="0" fontId="3" fillId="20" borderId="0" xfId="0" applyFont="1" applyFill="1" applyProtection="1">
      <protection locked="0"/>
    </xf>
    <xf numFmtId="0" fontId="50" fillId="16" borderId="0" xfId="0" applyFont="1" applyFill="1" applyAlignment="1" applyProtection="1">
      <alignment horizontal="center"/>
      <protection locked="0"/>
    </xf>
    <xf numFmtId="0" fontId="50" fillId="16" borderId="0" xfId="0" applyFont="1" applyFill="1" applyAlignment="1" applyProtection="1">
      <alignment horizontal="left"/>
      <protection locked="0"/>
    </xf>
    <xf numFmtId="0" fontId="3" fillId="18" borderId="0" xfId="0" applyFont="1" applyFill="1" applyProtection="1">
      <protection locked="0"/>
    </xf>
    <xf numFmtId="0" fontId="53" fillId="16" borderId="0" xfId="0" applyFont="1" applyFill="1" applyAlignment="1" applyProtection="1">
      <alignment vertical="center"/>
      <protection locked="0"/>
    </xf>
    <xf numFmtId="0" fontId="56" fillId="16" borderId="0" xfId="0" applyFont="1" applyFill="1" applyAlignment="1" applyProtection="1">
      <alignment horizontal="left" vertical="center" wrapText="1" indent="2"/>
      <protection locked="0"/>
    </xf>
    <xf numFmtId="0" fontId="55" fillId="16" borderId="0" xfId="0" applyFont="1" applyFill="1" applyAlignment="1" applyProtection="1">
      <alignment vertical="top" wrapText="1"/>
      <protection locked="0"/>
    </xf>
    <xf numFmtId="0" fontId="36" fillId="16" borderId="0" xfId="0" applyFont="1" applyFill="1" applyAlignment="1" applyProtection="1">
      <alignment vertical="center" wrapText="1"/>
      <protection locked="0"/>
    </xf>
    <xf numFmtId="0" fontId="3" fillId="19" borderId="0" xfId="0" applyFont="1" applyFill="1" applyProtection="1">
      <protection locked="0"/>
    </xf>
    <xf numFmtId="0" fontId="53" fillId="16" borderId="0" xfId="0" applyFont="1" applyFill="1" applyProtection="1">
      <protection locked="0"/>
    </xf>
    <xf numFmtId="169" fontId="52" fillId="16" borderId="0" xfId="0" applyNumberFormat="1" applyFont="1" applyFill="1" applyAlignment="1" applyProtection="1">
      <alignment horizontal="center" vertical="center" wrapText="1"/>
      <protection locked="0"/>
    </xf>
    <xf numFmtId="0" fontId="54" fillId="16" borderId="0" xfId="0" quotePrefix="1" applyFont="1" applyFill="1" applyAlignment="1" applyProtection="1">
      <alignment horizontal="left" vertical="center" indent="1"/>
      <protection locked="0"/>
    </xf>
    <xf numFmtId="0" fontId="3" fillId="16" borderId="0" xfId="0" applyFont="1" applyFill="1" applyAlignment="1" applyProtection="1">
      <alignment horizontal="center"/>
      <protection locked="0"/>
    </xf>
    <xf numFmtId="0" fontId="54" fillId="16" borderId="0" xfId="0" quotePrefix="1" applyFont="1" applyFill="1" applyAlignment="1" applyProtection="1">
      <alignment horizontal="left" indent="1"/>
      <protection locked="0"/>
    </xf>
    <xf numFmtId="0" fontId="3" fillId="16" borderId="0" xfId="0" applyFont="1" applyFill="1" applyAlignment="1" applyProtection="1">
      <alignment horizontal="right" vertical="center"/>
      <protection locked="0"/>
    </xf>
    <xf numFmtId="0" fontId="3" fillId="16" borderId="0" xfId="0" quotePrefix="1" applyFont="1" applyFill="1" applyAlignment="1" applyProtection="1">
      <alignment horizontal="center"/>
      <protection locked="0"/>
    </xf>
    <xf numFmtId="0" fontId="3" fillId="16" borderId="0" xfId="0" quotePrefix="1" applyFont="1" applyFill="1" applyProtection="1">
      <protection locked="0"/>
    </xf>
    <xf numFmtId="0" fontId="65" fillId="16" borderId="0" xfId="0" applyFont="1" applyFill="1" applyAlignment="1">
      <alignment wrapText="1"/>
    </xf>
    <xf numFmtId="0" fontId="53" fillId="16" borderId="0" xfId="0" applyFont="1" applyFill="1" applyAlignment="1">
      <alignment horizontal="left" vertical="center" wrapText="1"/>
    </xf>
    <xf numFmtId="0" fontId="54" fillId="16" borderId="0" xfId="0" quotePrefix="1" applyFont="1" applyFill="1" applyAlignment="1">
      <alignment horizontal="left" vertical="center" indent="1"/>
    </xf>
    <xf numFmtId="169" fontId="53" fillId="16" borderId="0" xfId="0" applyNumberFormat="1" applyFont="1" applyFill="1" applyAlignment="1">
      <alignment horizontal="center" vertical="center" wrapText="1"/>
    </xf>
    <xf numFmtId="0" fontId="53" fillId="23" borderId="32" xfId="0" quotePrefix="1" applyFont="1" applyFill="1" applyBorder="1"/>
    <xf numFmtId="0" fontId="3" fillId="16" borderId="30" xfId="0" applyFont="1" applyFill="1" applyBorder="1"/>
    <xf numFmtId="0" fontId="53" fillId="23" borderId="31" xfId="0" quotePrefix="1" applyFont="1" applyFill="1" applyBorder="1"/>
    <xf numFmtId="0" fontId="3" fillId="16" borderId="0" xfId="0" applyFont="1" applyFill="1" applyAlignment="1">
      <alignment horizontal="center"/>
    </xf>
    <xf numFmtId="0" fontId="3" fillId="16" borderId="0" xfId="0" applyFont="1" applyFill="1" applyAlignment="1">
      <alignment horizontal="right"/>
    </xf>
    <xf numFmtId="0" fontId="36" fillId="16" borderId="0" xfId="0" applyFont="1" applyFill="1" applyAlignment="1">
      <alignment vertical="center" wrapText="1"/>
    </xf>
    <xf numFmtId="0" fontId="68" fillId="16" borderId="0" xfId="0" applyFont="1" applyFill="1" applyAlignment="1">
      <alignment wrapText="1"/>
    </xf>
    <xf numFmtId="0" fontId="68" fillId="16" borderId="0" xfId="0" applyFont="1" applyFill="1"/>
    <xf numFmtId="0" fontId="69" fillId="4" borderId="31" xfId="0" applyFont="1" applyFill="1" applyBorder="1" applyAlignment="1">
      <alignment horizontal="center" vertical="center" wrapText="1"/>
    </xf>
    <xf numFmtId="0" fontId="68" fillId="16" borderId="30" xfId="0" applyFont="1" applyFill="1" applyBorder="1"/>
    <xf numFmtId="0" fontId="70" fillId="16" borderId="0" xfId="0" quotePrefix="1" applyFont="1" applyFill="1" applyAlignment="1">
      <alignment horizontal="center"/>
    </xf>
    <xf numFmtId="169" fontId="70" fillId="16" borderId="0" xfId="0" applyNumberFormat="1" applyFont="1" applyFill="1" applyAlignment="1">
      <alignment horizontal="center" vertical="center" wrapText="1"/>
    </xf>
    <xf numFmtId="0" fontId="10" fillId="16" borderId="0" xfId="0" applyFont="1" applyFill="1" applyAlignment="1">
      <alignment horizontal="center" vertical="center"/>
    </xf>
    <xf numFmtId="172" fontId="3" fillId="0" borderId="29" xfId="0" applyNumberFormat="1" applyFont="1" applyBorder="1" applyAlignment="1">
      <alignment horizontal="center"/>
    </xf>
    <xf numFmtId="172" fontId="3" fillId="16" borderId="0" xfId="0" applyNumberFormat="1" applyFont="1" applyFill="1"/>
    <xf numFmtId="172" fontId="3" fillId="0" borderId="38" xfId="0" applyNumberFormat="1" applyFont="1" applyBorder="1" applyAlignment="1">
      <alignment horizontal="center"/>
    </xf>
    <xf numFmtId="172" fontId="3" fillId="16" borderId="0" xfId="0" applyNumberFormat="1" applyFont="1" applyFill="1" applyAlignment="1">
      <alignment wrapText="1"/>
    </xf>
    <xf numFmtId="165" fontId="3" fillId="0" borderId="38" xfId="0" applyNumberFormat="1" applyFont="1" applyBorder="1" applyAlignment="1">
      <alignment horizontal="center"/>
    </xf>
    <xf numFmtId="172" fontId="3" fillId="16" borderId="18" xfId="0" applyNumberFormat="1" applyFont="1" applyFill="1" applyBorder="1"/>
    <xf numFmtId="172" fontId="56" fillId="16" borderId="0" xfId="0" applyNumberFormat="1" applyFont="1" applyFill="1" applyAlignment="1">
      <alignment horizontal="left" vertical="center" wrapText="1" indent="3"/>
    </xf>
    <xf numFmtId="172" fontId="55" fillId="16" borderId="0" xfId="0" applyNumberFormat="1" applyFont="1" applyFill="1" applyAlignment="1">
      <alignment vertical="top" wrapText="1"/>
    </xf>
    <xf numFmtId="165" fontId="3" fillId="0" borderId="29" xfId="0" applyNumberFormat="1" applyFont="1" applyBorder="1" applyAlignment="1">
      <alignment horizontal="center"/>
    </xf>
    <xf numFmtId="172" fontId="3" fillId="0" borderId="39" xfId="0" applyNumberFormat="1" applyFont="1" applyBorder="1" applyAlignment="1">
      <alignment horizontal="center" vertical="top" wrapText="1"/>
    </xf>
    <xf numFmtId="172" fontId="3" fillId="0" borderId="18" xfId="0" applyNumberFormat="1" applyFont="1" applyBorder="1" applyAlignment="1">
      <alignment horizontal="center" vertical="top" wrapText="1"/>
    </xf>
    <xf numFmtId="165" fontId="3" fillId="0" borderId="17" xfId="0" applyNumberFormat="1" applyFont="1" applyBorder="1" applyAlignment="1">
      <alignment horizontal="center" vertical="top" wrapText="1"/>
    </xf>
    <xf numFmtId="172" fontId="3" fillId="16" borderId="19" xfId="0" applyNumberFormat="1" applyFont="1" applyFill="1" applyBorder="1"/>
    <xf numFmtId="172" fontId="53" fillId="16" borderId="18" xfId="0" applyNumberFormat="1" applyFont="1" applyFill="1" applyBorder="1"/>
    <xf numFmtId="172" fontId="52" fillId="16" borderId="0" xfId="0" applyNumberFormat="1" applyFont="1" applyFill="1" applyAlignment="1">
      <alignment horizontal="center" vertical="center" wrapText="1"/>
    </xf>
    <xf numFmtId="0" fontId="3" fillId="16" borderId="42" xfId="0" applyFont="1" applyFill="1" applyBorder="1"/>
    <xf numFmtId="0" fontId="54" fillId="16" borderId="18" xfId="0" quotePrefix="1" applyFont="1" applyFill="1" applyBorder="1" applyAlignment="1">
      <alignment horizontal="left" indent="1"/>
    </xf>
    <xf numFmtId="172" fontId="3" fillId="0" borderId="17" xfId="0" applyNumberFormat="1" applyFont="1" applyBorder="1" applyAlignment="1">
      <alignment horizontal="center" vertical="center"/>
    </xf>
    <xf numFmtId="172" fontId="3" fillId="16" borderId="43" xfId="0" applyNumberFormat="1" applyFont="1" applyFill="1" applyBorder="1" applyAlignment="1">
      <alignment horizontal="center" vertical="center"/>
    </xf>
    <xf numFmtId="165" fontId="3" fillId="0" borderId="18" xfId="0" applyNumberFormat="1" applyFont="1" applyBorder="1" applyAlignment="1">
      <alignment horizontal="center" vertical="center"/>
    </xf>
    <xf numFmtId="172" fontId="54" fillId="16" borderId="18" xfId="0" quotePrefix="1" applyNumberFormat="1" applyFont="1" applyFill="1" applyBorder="1" applyAlignment="1">
      <alignment horizontal="left" indent="1"/>
    </xf>
    <xf numFmtId="172" fontId="53" fillId="16" borderId="0" xfId="0" applyNumberFormat="1" applyFont="1" applyFill="1" applyAlignment="1">
      <alignment horizontal="center" vertical="center" wrapText="1"/>
    </xf>
    <xf numFmtId="0" fontId="3" fillId="0" borderId="0" xfId="0" applyFont="1" applyAlignment="1">
      <alignment vertical="center"/>
    </xf>
    <xf numFmtId="0" fontId="24" fillId="21" borderId="0" xfId="0" applyFont="1" applyFill="1" applyAlignment="1">
      <alignment horizontal="center" vertical="center" wrapText="1"/>
    </xf>
    <xf numFmtId="0" fontId="38" fillId="16" borderId="0" xfId="0" applyFont="1" applyFill="1" applyAlignment="1">
      <alignment horizontal="center" wrapText="1"/>
    </xf>
    <xf numFmtId="0" fontId="3" fillId="4" borderId="3" xfId="0" applyFont="1" applyFill="1" applyBorder="1" applyAlignment="1">
      <alignment horizontal="center" vertical="center" wrapText="1"/>
    </xf>
    <xf numFmtId="0" fontId="3" fillId="24" borderId="0" xfId="0" applyFont="1" applyFill="1" applyAlignment="1">
      <alignment horizontal="left" vertical="center" wrapText="1" indent="1"/>
    </xf>
    <xf numFmtId="0" fontId="3" fillId="24" borderId="15" xfId="0" applyFont="1" applyFill="1" applyBorder="1" applyAlignment="1">
      <alignment horizontal="left" vertical="center" wrapText="1" indent="1"/>
    </xf>
    <xf numFmtId="0" fontId="3" fillId="24" borderId="9" xfId="0" applyFont="1" applyFill="1" applyBorder="1" applyAlignment="1">
      <alignment horizontal="left" vertical="center" wrapText="1" indent="1"/>
    </xf>
    <xf numFmtId="0" fontId="3" fillId="24" borderId="12" xfId="0" applyFont="1" applyFill="1" applyBorder="1" applyAlignment="1">
      <alignment horizontal="left" vertical="center" wrapText="1" indent="1"/>
    </xf>
    <xf numFmtId="0" fontId="36" fillId="24" borderId="9" xfId="4" applyFont="1" applyFill="1" applyBorder="1" applyAlignment="1">
      <alignment horizontal="left" vertical="center" wrapText="1" indent="1"/>
    </xf>
    <xf numFmtId="0" fontId="36" fillId="24" borderId="12" xfId="4" applyFont="1" applyFill="1" applyBorder="1" applyAlignment="1">
      <alignment horizontal="left" vertical="center" wrapText="1" indent="1"/>
    </xf>
    <xf numFmtId="0" fontId="73" fillId="21" borderId="0" xfId="0" applyFont="1" applyFill="1" applyAlignment="1">
      <alignment horizontal="left" vertical="center"/>
    </xf>
    <xf numFmtId="0" fontId="73" fillId="21" borderId="0" xfId="0" applyFont="1" applyFill="1" applyAlignment="1">
      <alignment horizontal="center" vertical="center"/>
    </xf>
    <xf numFmtId="0" fontId="76" fillId="16" borderId="9" xfId="0" applyFont="1" applyFill="1" applyBorder="1" applyAlignment="1">
      <alignment horizontal="center" vertical="center"/>
    </xf>
    <xf numFmtId="0" fontId="60" fillId="7" borderId="10" xfId="0" applyFont="1" applyFill="1" applyBorder="1" applyAlignment="1">
      <alignment horizontal="center" vertical="center" wrapText="1"/>
    </xf>
    <xf numFmtId="0" fontId="57" fillId="16" borderId="0" xfId="4" applyFont="1" applyFill="1" applyAlignment="1" applyProtection="1">
      <alignment horizontal="center" vertical="center"/>
    </xf>
    <xf numFmtId="0" fontId="6" fillId="21" borderId="0" xfId="0" applyFont="1" applyFill="1" applyAlignment="1">
      <alignment horizontal="center" vertical="center"/>
    </xf>
    <xf numFmtId="0" fontId="37" fillId="16" borderId="0" xfId="0" applyFont="1" applyFill="1" applyAlignment="1">
      <alignment horizontal="left" vertical="center" wrapText="1"/>
    </xf>
    <xf numFmtId="0" fontId="60" fillId="10" borderId="0" xfId="0" applyFont="1" applyFill="1" applyAlignment="1">
      <alignment horizontal="center" vertical="center" wrapText="1"/>
    </xf>
    <xf numFmtId="0" fontId="60" fillId="10" borderId="5" xfId="0" applyFont="1" applyFill="1" applyBorder="1" applyAlignment="1">
      <alignment horizontal="center" vertical="center" wrapText="1"/>
    </xf>
    <xf numFmtId="0" fontId="11" fillId="16" borderId="0" xfId="0" applyFont="1" applyFill="1" applyAlignment="1">
      <alignment horizontal="left" vertical="center" wrapText="1"/>
    </xf>
    <xf numFmtId="0" fontId="11" fillId="16" borderId="0" xfId="0" applyFont="1" applyFill="1" applyAlignment="1">
      <alignment horizontal="left" vertical="center"/>
    </xf>
    <xf numFmtId="0" fontId="24" fillId="21" borderId="0" xfId="0" applyFont="1" applyFill="1" applyAlignment="1">
      <alignment horizontal="center" vertical="center"/>
    </xf>
    <xf numFmtId="0" fontId="15" fillId="11" borderId="21" xfId="0" applyFont="1" applyFill="1" applyBorder="1" applyAlignment="1">
      <alignment horizontal="center" vertical="center" wrapText="1"/>
    </xf>
    <xf numFmtId="0" fontId="64" fillId="21" borderId="21" xfId="0" applyFont="1" applyFill="1" applyBorder="1" applyAlignment="1">
      <alignment horizontal="center" vertical="center" wrapText="1"/>
    </xf>
    <xf numFmtId="0" fontId="64" fillId="21" borderId="16" xfId="0" applyFont="1" applyFill="1" applyBorder="1" applyAlignment="1">
      <alignment horizontal="center" vertical="center" wrapText="1"/>
    </xf>
    <xf numFmtId="0" fontId="23" fillId="21" borderId="21" xfId="0" applyFont="1" applyFill="1" applyBorder="1" applyAlignment="1">
      <alignment horizontal="center" vertical="center" wrapText="1"/>
    </xf>
    <xf numFmtId="0" fontId="23" fillId="21" borderId="16" xfId="0" applyFont="1" applyFill="1" applyBorder="1" applyAlignment="1">
      <alignment horizontal="center" vertical="center" wrapText="1"/>
    </xf>
    <xf numFmtId="0" fontId="15" fillId="9" borderId="21" xfId="0" applyFont="1" applyFill="1" applyBorder="1" applyAlignment="1">
      <alignment horizontal="center" vertical="center" wrapText="1"/>
    </xf>
    <xf numFmtId="0" fontId="15" fillId="14" borderId="21" xfId="0" applyFont="1" applyFill="1" applyBorder="1" applyAlignment="1">
      <alignment horizontal="center" vertical="center" wrapText="1"/>
    </xf>
    <xf numFmtId="0" fontId="74" fillId="16" borderId="0" xfId="0" applyFont="1" applyFill="1" applyAlignment="1">
      <alignment horizontal="left" vertical="center" wrapText="1" indent="2"/>
    </xf>
    <xf numFmtId="0" fontId="72" fillId="16" borderId="0" xfId="0" applyFont="1" applyFill="1" applyAlignment="1" applyProtection="1">
      <alignment horizontal="center" wrapText="1"/>
      <protection locked="0"/>
    </xf>
    <xf numFmtId="0" fontId="50" fillId="16" borderId="0" xfId="0" applyFont="1" applyFill="1" applyAlignment="1" applyProtection="1">
      <alignment horizontal="center"/>
      <protection locked="0"/>
    </xf>
    <xf numFmtId="0" fontId="3" fillId="0" borderId="0" xfId="0" applyFont="1" applyAlignment="1">
      <alignment horizontal="center" vertical="center"/>
    </xf>
    <xf numFmtId="0" fontId="3" fillId="0" borderId="20" xfId="0" applyFont="1" applyBorder="1" applyAlignment="1">
      <alignment horizontal="center" vertical="center"/>
    </xf>
    <xf numFmtId="0" fontId="21" fillId="16" borderId="0" xfId="0" applyFont="1" applyFill="1" applyAlignment="1" applyProtection="1">
      <alignment horizontal="center" vertical="top" wrapText="1"/>
      <protection locked="0"/>
    </xf>
    <xf numFmtId="0" fontId="3" fillId="0" borderId="0" xfId="0" applyFont="1" applyAlignment="1">
      <alignment horizontal="center" wrapText="1"/>
    </xf>
    <xf numFmtId="0" fontId="3" fillId="0" borderId="27" xfId="0" applyFont="1" applyBorder="1" applyAlignment="1">
      <alignment horizontal="center" vertical="top" wrapText="1"/>
    </xf>
    <xf numFmtId="0" fontId="3" fillId="0" borderId="28" xfId="0" applyFont="1" applyBorder="1" applyAlignment="1">
      <alignment horizontal="center" vertical="top" wrapText="1"/>
    </xf>
    <xf numFmtId="9" fontId="3" fillId="0" borderId="23" xfId="0" applyNumberFormat="1" applyFont="1" applyBorder="1" applyAlignment="1">
      <alignment horizontal="center" vertical="center"/>
    </xf>
    <xf numFmtId="0" fontId="3" fillId="0" borderId="23" xfId="0" applyFont="1" applyBorder="1" applyAlignment="1">
      <alignment horizontal="center" vertical="center"/>
    </xf>
    <xf numFmtId="0" fontId="67" fillId="16" borderId="0" xfId="0" applyFont="1" applyFill="1" applyAlignment="1">
      <alignment horizontal="center" wrapText="1"/>
    </xf>
    <xf numFmtId="9" fontId="3" fillId="0" borderId="44" xfId="0" applyNumberFormat="1" applyFont="1" applyBorder="1" applyAlignment="1">
      <alignment horizontal="center" vertical="center" wrapText="1"/>
    </xf>
    <xf numFmtId="9" fontId="3" fillId="0" borderId="40" xfId="0" applyNumberFormat="1" applyFont="1" applyBorder="1" applyAlignment="1">
      <alignment horizontal="center" vertical="center" wrapText="1"/>
    </xf>
    <xf numFmtId="9" fontId="3" fillId="0" borderId="45" xfId="0" applyNumberFormat="1" applyFont="1" applyBorder="1" applyAlignment="1">
      <alignment horizontal="center" vertical="center" wrapText="1"/>
    </xf>
    <xf numFmtId="0" fontId="36" fillId="3" borderId="0" xfId="0" applyFont="1" applyFill="1" applyAlignment="1">
      <alignment horizontal="left" vertical="center" wrapText="1"/>
    </xf>
    <xf numFmtId="9" fontId="66" fillId="0" borderId="33" xfId="0" applyNumberFormat="1" applyFont="1" applyBorder="1" applyAlignment="1">
      <alignment horizontal="center" vertical="center" wrapText="1"/>
    </xf>
    <xf numFmtId="9" fontId="66" fillId="0" borderId="34" xfId="0" applyNumberFormat="1" applyFont="1" applyBorder="1" applyAlignment="1">
      <alignment horizontal="center" vertical="center" wrapText="1"/>
    </xf>
    <xf numFmtId="9" fontId="66" fillId="0" borderId="35" xfId="0" applyNumberFormat="1" applyFont="1" applyBorder="1" applyAlignment="1">
      <alignment horizontal="center" vertical="center" wrapText="1"/>
    </xf>
    <xf numFmtId="9" fontId="66" fillId="0" borderId="20" xfId="0" applyNumberFormat="1" applyFont="1" applyBorder="1" applyAlignment="1">
      <alignment horizontal="center" vertical="center" wrapText="1"/>
    </xf>
    <xf numFmtId="9" fontId="66" fillId="0" borderId="36" xfId="0" applyNumberFormat="1" applyFont="1" applyBorder="1" applyAlignment="1">
      <alignment horizontal="center" vertical="center" wrapText="1"/>
    </xf>
    <xf numFmtId="9" fontId="66" fillId="0" borderId="37" xfId="0" applyNumberFormat="1" applyFont="1" applyBorder="1" applyAlignment="1">
      <alignment horizontal="center" vertical="center" wrapText="1"/>
    </xf>
    <xf numFmtId="0" fontId="66" fillId="4" borderId="0" xfId="0" applyFont="1" applyFill="1" applyAlignment="1">
      <alignment horizontal="center" vertical="center" wrapText="1"/>
    </xf>
    <xf numFmtId="0" fontId="66" fillId="4" borderId="20" xfId="0" applyFont="1" applyFill="1" applyBorder="1" applyAlignment="1">
      <alignment horizontal="center" vertical="center" wrapText="1"/>
    </xf>
    <xf numFmtId="0" fontId="53" fillId="16" borderId="0" xfId="0" applyFont="1" applyFill="1" applyAlignment="1" applyProtection="1">
      <alignment horizontal="center" vertical="center" wrapText="1"/>
      <protection locked="0"/>
    </xf>
    <xf numFmtId="0" fontId="72" fillId="16" borderId="0" xfId="0" applyFont="1" applyFill="1" applyAlignment="1" applyProtection="1">
      <alignment horizontal="center" vertical="center" wrapText="1"/>
      <protection locked="0"/>
    </xf>
    <xf numFmtId="0" fontId="3" fillId="22" borderId="2" xfId="0" applyFont="1" applyFill="1" applyBorder="1" applyAlignment="1">
      <alignment horizontal="center"/>
    </xf>
    <xf numFmtId="0" fontId="28" fillId="22" borderId="2" xfId="0" applyFont="1" applyFill="1" applyBorder="1" applyAlignment="1">
      <alignment horizontal="center" vertical="center"/>
    </xf>
    <xf numFmtId="0" fontId="3" fillId="0" borderId="0" xfId="0" applyNumberFormat="1" applyFont="1"/>
  </cellXfs>
  <cellStyles count="8">
    <cellStyle name="20% - Accent1" xfId="1" builtinId="30"/>
    <cellStyle name="Hyperlink" xfId="4" builtinId="8"/>
    <cellStyle name="Normal" xfId="0" builtinId="0"/>
    <cellStyle name="Normal 2" xfId="2" xr:uid="{00000000-0005-0000-0000-000002000000}"/>
    <cellStyle name="Normal 3" xfId="5" xr:uid="{0583AEDC-99D2-4EB8-ADF9-00D9C1907766}"/>
    <cellStyle name="Normal 3 2" xfId="6" xr:uid="{FEE42EFA-A329-42B8-BCF1-127B0D58D119}"/>
    <cellStyle name="Normal 4" xfId="7" xr:uid="{40A98C0D-33CF-488B-AB08-8EDDC0D2FD06}"/>
    <cellStyle name="Percent" xfId="3" builtinId="5"/>
  </cellStyles>
  <dxfs count="124">
    <dxf>
      <font>
        <color rgb="FF9C0006"/>
      </font>
      <fill>
        <patternFill>
          <bgColor rgb="FFFFC7CE"/>
        </patternFill>
      </fill>
    </dxf>
    <dxf>
      <font>
        <color theme="2" tint="-0.749961851863155"/>
      </font>
      <fill>
        <patternFill>
          <bgColor theme="2" tint="-0.24994659260841701"/>
        </patternFill>
      </fill>
    </dxf>
    <dxf>
      <font>
        <color theme="2" tint="-0.749961851863155"/>
      </font>
      <fill>
        <patternFill>
          <bgColor theme="2" tint="-0.24994659260841701"/>
        </patternFill>
      </fill>
    </dxf>
    <dxf>
      <font>
        <color rgb="FF9C0006"/>
      </font>
      <fill>
        <patternFill>
          <bgColor rgb="FFFFC7CE"/>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b val="0"/>
        <i val="0"/>
        <color auto="1"/>
      </font>
      <fill>
        <patternFill>
          <bgColor theme="5" tint="0.59996337778862885"/>
        </patternFill>
      </fill>
    </dxf>
    <dxf>
      <font>
        <color auto="1"/>
      </font>
      <fill>
        <patternFill>
          <bgColor rgb="FFFFFFB3"/>
        </patternFill>
      </fill>
    </dxf>
    <dxf>
      <font>
        <color auto="1"/>
      </font>
      <fill>
        <patternFill>
          <bgColor theme="0" tint="-0.14996795556505021"/>
        </patternFill>
      </fill>
    </dxf>
    <dxf>
      <fill>
        <patternFill>
          <bgColor theme="0"/>
        </patternFill>
      </fill>
    </dxf>
    <dxf>
      <font>
        <color theme="0" tint="-0.499984740745262"/>
      </font>
      <fill>
        <patternFill>
          <bgColor theme="0" tint="-0.24994659260841701"/>
        </patternFill>
      </fill>
    </dxf>
    <dxf>
      <font>
        <b val="0"/>
        <i val="0"/>
        <color auto="1"/>
      </font>
      <fill>
        <patternFill>
          <bgColor theme="5" tint="0.59996337778862885"/>
        </patternFill>
      </fill>
    </dxf>
    <dxf>
      <font>
        <color auto="1"/>
      </font>
      <fill>
        <patternFill>
          <bgColor theme="7" tint="0.79998168889431442"/>
        </patternFill>
      </fill>
    </dxf>
    <dxf>
      <font>
        <color theme="1"/>
      </font>
      <fill>
        <patternFill patternType="solid">
          <bgColor theme="4" tint="0.59996337778862885"/>
        </patternFill>
      </fill>
    </dxf>
    <dxf>
      <font>
        <b val="0"/>
        <i val="0"/>
        <strike val="0"/>
        <condense val="0"/>
        <extend val="0"/>
        <outline val="0"/>
        <shadow val="0"/>
        <u val="none"/>
        <vertAlign val="baseline"/>
        <sz val="11"/>
        <color theme="1"/>
        <name val="Tw Cen MT"/>
        <family val="2"/>
        <scheme val="none"/>
      </font>
      <fill>
        <patternFill patternType="none">
          <fgColor indexed="64"/>
          <bgColor indexed="65"/>
        </patternFill>
      </fill>
      <border diagonalUp="0" diagonalDown="0" outline="0">
        <left style="thin">
          <color indexed="64"/>
        </left>
        <right/>
        <top style="thin">
          <color indexed="64"/>
        </top>
        <bottom/>
      </border>
      <protection locked="1" hidden="0"/>
    </dxf>
    <dxf>
      <font>
        <strike val="0"/>
        <outline val="0"/>
        <shadow val="0"/>
        <u val="none"/>
        <vertAlign val="baseline"/>
        <name val="Tw Cen MT"/>
        <family val="2"/>
        <scheme val="none"/>
      </font>
      <fill>
        <patternFill patternType="none">
          <fgColor indexed="64"/>
          <bgColor auto="1"/>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name val="Tw Cen MT"/>
        <family val="2"/>
        <scheme val="none"/>
      </font>
      <fill>
        <patternFill patternType="none">
          <fgColor indexed="64"/>
          <bgColor auto="1"/>
        </patternFill>
      </fill>
      <alignment horizont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numFmt numFmtId="1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name val="Tw Cen MT"/>
        <family val="2"/>
        <scheme val="none"/>
      </font>
      <numFmt numFmtId="13" formatCode="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numFmt numFmtId="1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1"/>
        <name val="Tw Cen MT"/>
        <family val="2"/>
        <scheme val="none"/>
      </font>
      <numFmt numFmtId="13" formatCode="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numFmt numFmtId="4"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1"/>
        <name val="Tw Cen MT"/>
        <family val="2"/>
        <scheme val="none"/>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numFmt numFmtId="4"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name val="Tw Cen MT"/>
        <family val="2"/>
        <scheme val="none"/>
      </font>
      <numFmt numFmtId="4" formatCode="#,##0.00"/>
      <fill>
        <patternFill patternType="none">
          <fgColor indexed="64"/>
          <bgColor auto="1"/>
        </patternFill>
      </fill>
      <alignment horizont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numFmt numFmtId="20" formatCode="dd/mmm/yy"/>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border>
      <protection locked="1" hidden="0"/>
    </dxf>
    <dxf>
      <font>
        <strike val="0"/>
        <outline val="0"/>
        <shadow val="0"/>
        <u val="none"/>
        <vertAlign val="baseline"/>
        <name val="Tw Cen MT"/>
        <family val="2"/>
        <scheme val="none"/>
      </font>
      <numFmt numFmtId="20" formatCode="dd/mmm/yy"/>
      <fill>
        <patternFill patternType="none">
          <fgColor indexed="64"/>
          <bgColor auto="1"/>
        </patternFill>
      </fill>
      <alignment horizont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font>
        <strike val="0"/>
        <outline val="0"/>
        <shadow val="0"/>
        <u val="none"/>
        <vertAlign val="baseline"/>
        <name val="Tw Cen MT"/>
        <family val="2"/>
        <scheme val="none"/>
      </font>
      <fill>
        <patternFill patternType="none">
          <fgColor indexed="64"/>
          <bgColor auto="1"/>
        </patternFill>
      </fill>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Tw Cen MT"/>
        <family val="2"/>
        <scheme val="none"/>
      </font>
      <fill>
        <patternFill patternType="none">
          <fgColor indexed="64"/>
          <bgColor auto="1"/>
        </patternFill>
      </fill>
    </dxf>
    <dxf>
      <border>
        <bottom style="thin">
          <color indexed="64"/>
        </bottom>
      </border>
    </dxf>
    <dxf>
      <font>
        <b/>
        <strike val="0"/>
        <outline val="0"/>
        <shadow val="0"/>
        <u val="none"/>
        <vertAlign val="baseline"/>
        <name val="Tw Cen MT"/>
        <family val="2"/>
        <scheme val="none"/>
      </font>
      <fill>
        <patternFill patternType="solid">
          <fgColor indexed="64"/>
          <bgColor theme="0" tint="-0.14999847407452621"/>
        </patternFill>
      </fill>
      <alignment vertical="center" textRotation="0" wrapText="0" indent="0" justifyLastLine="0" shrinkToFit="0" readingOrder="0"/>
      <border diagonalUp="0" diagonalDown="0" outline="0">
        <left style="thin">
          <color indexed="64"/>
        </left>
        <right style="thin">
          <color indexed="64"/>
        </right>
        <top/>
        <bottom/>
      </border>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b val="0"/>
        <i val="0"/>
        <strike val="0"/>
        <condense val="0"/>
        <extend val="0"/>
        <outline val="0"/>
        <shadow val="0"/>
        <u val="none"/>
        <vertAlign val="baseline"/>
        <sz val="11"/>
        <color theme="1"/>
        <name val="Tw Cen MT"/>
        <family val="2"/>
        <scheme val="none"/>
      </font>
      <numFmt numFmtId="0" formatCode="General"/>
      <fill>
        <patternFill patternType="none">
          <fgColor theme="4" tint="0.79998168889431442"/>
          <bgColor auto="1"/>
        </patternFill>
      </fill>
      <alignment vertical="center" textRotation="0" indent="0" justifyLastLine="0" shrinkToFit="0" readingOrder="0"/>
      <protection locked="1" hidden="0"/>
    </dxf>
    <dxf>
      <font>
        <b val="0"/>
        <i val="0"/>
        <strike val="0"/>
        <condense val="0"/>
        <extend val="0"/>
        <outline val="0"/>
        <shadow val="0"/>
        <u val="none"/>
        <vertAlign val="baseline"/>
        <sz val="11"/>
        <color theme="1"/>
        <name val="Tw Cen MT"/>
        <family val="2"/>
        <scheme val="none"/>
      </font>
      <numFmt numFmtId="0" formatCode="General"/>
      <fill>
        <patternFill patternType="none">
          <fgColor theme="4" tint="0.79998168889431442"/>
          <bgColor auto="1"/>
        </patternFill>
      </fill>
      <alignment horizontal="center" vertical="center" textRotation="0" indent="0" justifyLastLine="0" shrinkToFit="0" readingOrder="0"/>
      <protection locked="1" hidden="0"/>
    </dxf>
    <dxf>
      <font>
        <b val="0"/>
        <i val="0"/>
        <strike val="0"/>
        <condense val="0"/>
        <extend val="0"/>
        <outline val="0"/>
        <shadow val="0"/>
        <u val="none"/>
        <vertAlign val="baseline"/>
        <sz val="11"/>
        <color theme="1"/>
        <name val="Tw Cen MT"/>
        <family val="2"/>
        <scheme val="none"/>
      </font>
      <numFmt numFmtId="0" formatCode="General"/>
      <fill>
        <patternFill patternType="none">
          <fgColor theme="4" tint="0.79998168889431442"/>
          <bgColor auto="1"/>
        </patternFill>
      </fill>
      <alignment horizontal="center" vertical="center" textRotation="0" indent="0" justifyLastLine="0" shrinkToFit="0" readingOrder="0"/>
      <protection locked="1" hidden="0"/>
    </dxf>
    <dxf>
      <font>
        <b val="0"/>
        <i val="0"/>
        <strike val="0"/>
        <condense val="0"/>
        <extend val="0"/>
        <outline val="0"/>
        <shadow val="0"/>
        <u val="none"/>
        <vertAlign val="baseline"/>
        <sz val="11"/>
        <color theme="1"/>
        <name val="Tw Cen MT"/>
        <family val="2"/>
        <scheme val="none"/>
      </font>
      <numFmt numFmtId="4" formatCode="#,##0.00"/>
      <fill>
        <patternFill patternType="none">
          <fgColor theme="4" tint="0.79998168889431442"/>
          <bgColor auto="1"/>
        </patternFill>
      </fill>
      <alignment horizontal="center" vertical="center" textRotation="0" indent="0" justifyLastLine="0" shrinkToFit="0" readingOrder="0"/>
      <protection locked="1" hidden="0"/>
    </dxf>
    <dxf>
      <font>
        <b val="0"/>
        <i val="0"/>
        <strike val="0"/>
        <condense val="0"/>
        <extend val="0"/>
        <outline val="0"/>
        <shadow val="0"/>
        <u val="none"/>
        <vertAlign val="baseline"/>
        <sz val="11"/>
        <color theme="1"/>
        <name val="Tw Cen MT"/>
        <family val="2"/>
        <scheme val="none"/>
      </font>
      <numFmt numFmtId="13" formatCode="0%"/>
      <fill>
        <patternFill patternType="none">
          <fgColor theme="4" tint="0.79998168889431442"/>
          <bgColor auto="1"/>
        </patternFill>
      </fill>
      <alignment horizontal="center" vertical="center" textRotation="0" indent="0" justifyLastLine="0" shrinkToFit="0" readingOrder="0"/>
      <protection locked="1" hidden="0"/>
    </dxf>
    <dxf>
      <font>
        <b val="0"/>
        <i val="0"/>
        <strike val="0"/>
        <condense val="0"/>
        <extend val="0"/>
        <outline val="0"/>
        <shadow val="0"/>
        <u val="none"/>
        <vertAlign val="baseline"/>
        <sz val="11"/>
        <color theme="1"/>
        <name val="Tw Cen MT"/>
        <family val="2"/>
        <scheme val="none"/>
      </font>
      <numFmt numFmtId="13" formatCode="0%"/>
      <fill>
        <patternFill patternType="none">
          <fgColor theme="4" tint="0.79998168889431442"/>
          <bgColor auto="1"/>
        </patternFill>
      </fill>
      <alignment horizontal="center" vertical="center" textRotation="0" indent="0" justifyLastLine="0" shrinkToFit="0" readingOrder="0"/>
      <protection locked="1" hidden="0"/>
    </dxf>
    <dxf>
      <font>
        <b val="0"/>
        <i val="0"/>
        <strike val="0"/>
        <condense val="0"/>
        <extend val="0"/>
        <outline val="0"/>
        <shadow val="0"/>
        <u val="none"/>
        <vertAlign val="baseline"/>
        <sz val="11"/>
        <color theme="1"/>
        <name val="Tw Cen MT"/>
        <family val="2"/>
        <scheme val="none"/>
      </font>
      <numFmt numFmtId="22" formatCode="mmm/yy"/>
      <fill>
        <patternFill patternType="none">
          <fgColor theme="4" tint="0.79998168889431442"/>
          <bgColor auto="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i val="0"/>
        <strike val="0"/>
        <condense val="0"/>
        <extend val="0"/>
        <outline val="0"/>
        <shadow val="0"/>
        <u val="none"/>
        <vertAlign val="baseline"/>
        <sz val="11"/>
        <color theme="0" tint="-0.34998626667073579"/>
        <name val="Tw Cen MT"/>
        <family val="2"/>
        <scheme val="none"/>
      </font>
      <numFmt numFmtId="3"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theme="4" tint="0.79998168889431442"/>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theme="4" tint="0.79998168889431442"/>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theme="4" tint="0.79998168889431442"/>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2"/>
        <color theme="1"/>
        <name val="Tw Cen MT"/>
        <family val="2"/>
        <scheme val="none"/>
      </font>
      <numFmt numFmtId="3" formatCode="#,##0"/>
      <fill>
        <patternFill patternType="none">
          <fgColor indexed="64"/>
          <bgColor auto="1"/>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font>
        <b val="0"/>
        <i/>
        <strike val="0"/>
        <condense val="0"/>
        <extend val="0"/>
        <outline val="0"/>
        <shadow val="0"/>
        <u val="none"/>
        <vertAlign val="baseline"/>
        <sz val="12"/>
        <color auto="1"/>
        <name val="Tw Cen MT"/>
        <family val="2"/>
        <scheme val="none"/>
      </font>
      <numFmt numFmtId="25" formatCode="hh:mm"/>
      <fill>
        <patternFill patternType="none">
          <fgColor indexed="64"/>
          <bgColor auto="1"/>
        </patternFill>
      </fill>
      <alignment horizontal="center" vertical="center" textRotation="0" wrapText="1"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i val="0"/>
        <strike val="0"/>
        <condense val="0"/>
        <extend val="0"/>
        <outline val="0"/>
        <shadow val="0"/>
        <u val="none"/>
        <vertAlign val="baseline"/>
        <sz val="11"/>
        <color theme="0"/>
        <name val="Tw Cen MT"/>
        <family val="2"/>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1"/>
        <name val="Tw Cen MT"/>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Tw Cen MT"/>
        <family val="2"/>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Tw Cen MT"/>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Tw Cen MT"/>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Tw Cen MT"/>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Tw Cen MT"/>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2"/>
        <color auto="1"/>
        <name val="Tw Cen MT"/>
        <family val="2"/>
        <scheme val="none"/>
      </font>
      <numFmt numFmtId="25" formatCode="hh:mm"/>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Tw Cen MT"/>
        <family val="2"/>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w Cen MT"/>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2" tint="-0.249977111117893"/>
        <name val="Tw Cen MT"/>
        <family val="2"/>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Tw Cen MT"/>
        <family val="2"/>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fill>
        <patternFill patternType="none">
          <fgColor theme="4" tint="0.79998168889431442"/>
          <bgColor auto="1"/>
        </patternFill>
      </fill>
      <alignment vertical="center" textRotation="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theme="0"/>
        <name val="Tw Cen MT"/>
        <family val="2"/>
        <scheme val="none"/>
      </font>
      <fill>
        <patternFill patternType="solid">
          <fgColor indexed="64"/>
          <bgColor theme="0" tint="-0.34998626667073579"/>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ill>
        <patternFill>
          <bgColor theme="5" tint="0.79998168889431442"/>
        </patternFill>
      </fill>
    </dxf>
    <dxf>
      <font>
        <name val="Tw Cen MT"/>
        <family val="2"/>
        <scheme val="none"/>
      </font>
      <fill>
        <patternFill>
          <fgColor theme="5" tint="0.39994506668294322"/>
          <bgColor theme="5" tint="0.79998168889431442"/>
        </patternFill>
      </fill>
      <border>
        <left style="thin">
          <color auto="1"/>
        </left>
        <right style="thin">
          <color auto="1"/>
        </right>
        <top style="thin">
          <color auto="1"/>
        </top>
        <bottom style="thin">
          <color auto="1"/>
        </bottom>
      </border>
    </dxf>
    <dxf>
      <font>
        <name val="Tw Cen MT"/>
        <family val="2"/>
        <scheme val="none"/>
      </font>
    </dxf>
    <dxf>
      <fill>
        <patternFill>
          <bgColor theme="5" tint="0.79998168889431442"/>
        </patternFill>
      </fill>
    </dxf>
  </dxfs>
  <tableStyles count="4" defaultTableStyle="TableStyleMedium2" defaultPivotStyle="PivotStyleLight16">
    <tableStyle name="Custom" pivot="0" table="0" count="1" xr9:uid="{DC734EF2-6C3E-42EC-833B-0B8215A11C2F}">
      <tableStyleElement type="wholeTable" dxfId="123"/>
    </tableStyle>
    <tableStyle name="Slicer Style 1" pivot="0" table="0" count="1" xr9:uid="{F57D6513-AC47-4077-9F8D-C40FD9A6BFDA}">
      <tableStyleElement type="wholeTable" dxfId="122"/>
    </tableStyle>
    <tableStyle name="Slicer Style 2" pivot="0" table="0" count="1" xr9:uid="{01BD0BB3-5670-42DB-97C2-63B1C6D3857D}">
      <tableStyleElement type="wholeTable" dxfId="121"/>
    </tableStyle>
    <tableStyle name="Slicer Style 3" pivot="0" table="0" count="1" xr9:uid="{93557E10-2300-44AC-8EEB-27707F876CC7}">
      <tableStyleElement type="headerRow" dxfId="120"/>
    </tableStyle>
  </tableStyles>
  <colors>
    <mruColors>
      <color rgb="FFFFEBDD"/>
      <color rgb="FFFDECE3"/>
      <color rgb="FFFFF4D1"/>
      <color rgb="FFE2AA00"/>
      <color rgb="FFFFD184"/>
      <color rgb="FFFFF3EB"/>
      <color rgb="FFFF4747"/>
      <color rgb="FFC7E7A3"/>
      <color rgb="FFB2DE82"/>
      <color rgb="FFFF7979"/>
    </mruColors>
  </colors>
  <extLst>
    <ext xmlns:x14="http://schemas.microsoft.com/office/spreadsheetml/2009/9/main" uri="{EB79DEF2-80B8-43e5-95BD-54CBDDF9020C}">
      <x14:slicerStyles defaultSlicerStyle="SlicerStyleLight1">
        <x14:slicerStyle name="Custom"/>
        <x14:slicerStyle name="Slicer Style 1"/>
        <x14:slicerStyle name="Slicer Style 2"/>
        <x14:slicerStyle name="Slicer Style 3"/>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microsoft.com/office/2007/relationships/slicerCache" Target="slicerCaches/slicerCach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 Progress'!$AA$32</c:f>
              <c:strCache>
                <c:ptCount val="1"/>
                <c:pt idx="0">
                  <c:v>Syllubus(T)</c:v>
                </c:pt>
              </c:strCache>
            </c:strRef>
          </c:tx>
          <c:spPr>
            <a:solidFill>
              <a:schemeClr val="bg2">
                <a:lumMod val="90000"/>
              </a:schemeClr>
            </a:solidFill>
            <a:ln>
              <a:noFill/>
            </a:ln>
            <a:effectLst/>
          </c:spPr>
          <c:invertIfNegative val="0"/>
          <c:dLbls>
            <c:dLbl>
              <c:idx val="0"/>
              <c:tx>
                <c:rich>
                  <a:bodyPr/>
                  <a:lstStyle/>
                  <a:p>
                    <a:fld id="{5058B25C-2C07-48C6-8672-654C187C5795}"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54EE-422A-8173-85E89CCAC774}"/>
                </c:ext>
              </c:extLst>
            </c:dLbl>
            <c:dLbl>
              <c:idx val="1"/>
              <c:tx>
                <c:rich>
                  <a:bodyPr/>
                  <a:lstStyle/>
                  <a:p>
                    <a:fld id="{2B6E58A9-23CF-4E05-AB4A-79881E2C462A}"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54EE-422A-8173-85E89CCAC774}"/>
                </c:ext>
              </c:extLst>
            </c:dLbl>
            <c:dLbl>
              <c:idx val="2"/>
              <c:tx>
                <c:rich>
                  <a:bodyPr/>
                  <a:lstStyle/>
                  <a:p>
                    <a:fld id="{D2E9F134-4FD9-4878-A3B8-570AFC8E2C73}"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54EE-422A-8173-85E89CCAC774}"/>
                </c:ext>
              </c:extLst>
            </c:dLbl>
            <c:dLbl>
              <c:idx val="3"/>
              <c:tx>
                <c:rich>
                  <a:bodyPr/>
                  <a:lstStyle/>
                  <a:p>
                    <a:fld id="{CDBB63D6-849B-43C7-9519-8B69D1B0075C}"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54EE-422A-8173-85E89CCAC774}"/>
                </c:ext>
              </c:extLst>
            </c:dLbl>
            <c:dLbl>
              <c:idx val="4"/>
              <c:tx>
                <c:rich>
                  <a:bodyPr/>
                  <a:lstStyle/>
                  <a:p>
                    <a:fld id="{09C343AD-680F-4928-AFB1-AE7550B62C30}"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54EE-422A-8173-85E89CCAC774}"/>
                </c:ext>
              </c:extLst>
            </c:dLbl>
            <c:dLbl>
              <c:idx val="5"/>
              <c:tx>
                <c:rich>
                  <a:bodyPr/>
                  <a:lstStyle/>
                  <a:p>
                    <a:fld id="{BC558EA3-33D6-49E9-97E4-6F50052A964F}"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54EE-422A-8173-85E89CCAC774}"/>
                </c:ext>
              </c:extLst>
            </c:dLbl>
            <c:dLbl>
              <c:idx val="6"/>
              <c:tx>
                <c:rich>
                  <a:bodyPr/>
                  <a:lstStyle/>
                  <a:p>
                    <a:fld id="{66459323-DD19-4839-A7A9-421776BF683F}"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54EE-422A-8173-85E89CCAC774}"/>
                </c:ext>
              </c:extLst>
            </c:dLbl>
            <c:dLbl>
              <c:idx val="7"/>
              <c:tx>
                <c:rich>
                  <a:bodyPr/>
                  <a:lstStyle/>
                  <a:p>
                    <a:fld id="{FA0974B2-B93B-4152-8B31-38CA08D696AE}"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54EE-422A-8173-85E89CCAC774}"/>
                </c:ext>
              </c:extLst>
            </c:dLbl>
            <c:dLbl>
              <c:idx val="8"/>
              <c:tx>
                <c:rich>
                  <a:bodyPr/>
                  <a:lstStyle/>
                  <a:p>
                    <a:fld id="{EB6F6227-8969-4A5A-A22A-013AC651CA92}"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54EE-422A-8173-85E89CCAC774}"/>
                </c:ext>
              </c:extLst>
            </c:dLbl>
            <c:dLbl>
              <c:idx val="9"/>
              <c:tx>
                <c:rich>
                  <a:bodyPr/>
                  <a:lstStyle/>
                  <a:p>
                    <a:fld id="{3579164B-4055-40BD-958D-B506A9D00FE2}"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54EE-422A-8173-85E89CCAC774}"/>
                </c:ext>
              </c:extLst>
            </c:dLbl>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Progress'!$C$33:$C$42</c:f>
              <c:strCache>
                <c:ptCount val="10"/>
                <c:pt idx="0">
                  <c:v>Quants</c:v>
                </c:pt>
                <c:pt idx="1">
                  <c:v>Economics</c:v>
                </c:pt>
                <c:pt idx="2">
                  <c:v>FSA</c:v>
                </c:pt>
                <c:pt idx="3">
                  <c:v>Corp. Issuers</c:v>
                </c:pt>
                <c:pt idx="4">
                  <c:v>Equity</c:v>
                </c:pt>
                <c:pt idx="5">
                  <c:v>Fixed Income</c:v>
                </c:pt>
                <c:pt idx="6">
                  <c:v>Derivatives</c:v>
                </c:pt>
                <c:pt idx="7">
                  <c:v>Alt. Invest.</c:v>
                </c:pt>
                <c:pt idx="8">
                  <c:v>Portfolio-1 and 2</c:v>
                </c:pt>
                <c:pt idx="9">
                  <c:v>Ethics</c:v>
                </c:pt>
              </c:strCache>
            </c:strRef>
          </c:cat>
          <c:val>
            <c:numRef>
              <c:f>'📊 Progress'!$AA$33:$AA$42</c:f>
              <c:numCache>
                <c:formatCode>0%</c:formatCode>
                <c:ptCount val="10"/>
                <c:pt idx="0">
                  <c:v>1</c:v>
                </c:pt>
                <c:pt idx="1">
                  <c:v>1</c:v>
                </c:pt>
                <c:pt idx="2">
                  <c:v>1</c:v>
                </c:pt>
                <c:pt idx="3">
                  <c:v>1</c:v>
                </c:pt>
                <c:pt idx="4">
                  <c:v>1</c:v>
                </c:pt>
                <c:pt idx="5">
                  <c:v>1</c:v>
                </c:pt>
                <c:pt idx="6">
                  <c:v>1</c:v>
                </c:pt>
                <c:pt idx="7">
                  <c:v>1</c:v>
                </c:pt>
                <c:pt idx="8">
                  <c:v>1</c:v>
                </c:pt>
                <c:pt idx="9">
                  <c:v>1</c:v>
                </c:pt>
              </c:numCache>
            </c:numRef>
          </c:val>
          <c:extLst>
            <c:ext xmlns:c15="http://schemas.microsoft.com/office/drawing/2012/chart" uri="{02D57815-91ED-43cb-92C2-25804820EDAC}">
              <c15:datalabelsRange>
                <c15:f>'📊 Progress'!$S$33:$S$42</c15:f>
                <c15:dlblRangeCache>
                  <c:ptCount val="10"/>
                  <c:pt idx="0">
                    <c:v>18</c:v>
                  </c:pt>
                  <c:pt idx="1">
                    <c:v>15</c:v>
                  </c:pt>
                  <c:pt idx="2">
                    <c:v>20</c:v>
                  </c:pt>
                  <c:pt idx="3">
                    <c:v>7</c:v>
                  </c:pt>
                  <c:pt idx="4">
                    <c:v>8</c:v>
                  </c:pt>
                  <c:pt idx="5">
                    <c:v>19</c:v>
                  </c:pt>
                  <c:pt idx="6">
                    <c:v>10</c:v>
                  </c:pt>
                  <c:pt idx="7">
                    <c:v>7</c:v>
                  </c:pt>
                  <c:pt idx="8">
                    <c:v>6</c:v>
                  </c:pt>
                  <c:pt idx="9">
                    <c:v>5</c:v>
                  </c:pt>
                </c15:dlblRangeCache>
              </c15:datalabelsRange>
            </c:ext>
            <c:ext xmlns:c16="http://schemas.microsoft.com/office/drawing/2014/chart" uri="{C3380CC4-5D6E-409C-BE32-E72D297353CC}">
              <c16:uniqueId val="{0000000A-54EE-422A-8173-85E89CCAC774}"/>
            </c:ext>
          </c:extLst>
        </c:ser>
        <c:ser>
          <c:idx val="3"/>
          <c:order val="3"/>
          <c:tx>
            <c:strRef>
              <c:f>'📊 Progress'!$AC$32</c:f>
              <c:strCache>
                <c:ptCount val="1"/>
                <c:pt idx="0">
                  <c:v>Practice(T)</c:v>
                </c:pt>
              </c:strCache>
            </c:strRef>
          </c:tx>
          <c:spPr>
            <a:solidFill>
              <a:schemeClr val="accent2">
                <a:lumMod val="40000"/>
                <a:lumOff val="60000"/>
              </a:schemeClr>
            </a:solidFill>
            <a:ln>
              <a:noFill/>
            </a:ln>
            <a:effectLst/>
          </c:spPr>
          <c:invertIfNegative val="0"/>
          <c:dLbls>
            <c:dLbl>
              <c:idx val="0"/>
              <c:tx>
                <c:rich>
                  <a:bodyPr/>
                  <a:lstStyle/>
                  <a:p>
                    <a:fld id="{A01A0076-E11F-435D-957E-DB33AC42A477}"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54EE-422A-8173-85E89CCAC774}"/>
                </c:ext>
              </c:extLst>
            </c:dLbl>
            <c:dLbl>
              <c:idx val="1"/>
              <c:tx>
                <c:rich>
                  <a:bodyPr/>
                  <a:lstStyle/>
                  <a:p>
                    <a:fld id="{DBDC6F2F-4A71-4B57-BD9E-941456FBE41C}"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54EE-422A-8173-85E89CCAC774}"/>
                </c:ext>
              </c:extLst>
            </c:dLbl>
            <c:dLbl>
              <c:idx val="2"/>
              <c:tx>
                <c:rich>
                  <a:bodyPr/>
                  <a:lstStyle/>
                  <a:p>
                    <a:fld id="{CE4EE591-58C8-426F-AB1F-7CE50EA86F67}"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54EE-422A-8173-85E89CCAC774}"/>
                </c:ext>
              </c:extLst>
            </c:dLbl>
            <c:dLbl>
              <c:idx val="3"/>
              <c:tx>
                <c:rich>
                  <a:bodyPr/>
                  <a:lstStyle/>
                  <a:p>
                    <a:fld id="{21ED5749-B9E9-44B1-966B-D7F739D85229}"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54EE-422A-8173-85E89CCAC774}"/>
                </c:ext>
              </c:extLst>
            </c:dLbl>
            <c:dLbl>
              <c:idx val="4"/>
              <c:tx>
                <c:rich>
                  <a:bodyPr/>
                  <a:lstStyle/>
                  <a:p>
                    <a:fld id="{0A83F554-B8AB-4B5E-AF6B-3CCF44DC3F04}"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54EE-422A-8173-85E89CCAC774}"/>
                </c:ext>
              </c:extLst>
            </c:dLbl>
            <c:dLbl>
              <c:idx val="5"/>
              <c:tx>
                <c:rich>
                  <a:bodyPr/>
                  <a:lstStyle/>
                  <a:p>
                    <a:fld id="{1C78D4DC-2758-4C4F-AD8B-CB03B6325C51}"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54EE-422A-8173-85E89CCAC774}"/>
                </c:ext>
              </c:extLst>
            </c:dLbl>
            <c:dLbl>
              <c:idx val="6"/>
              <c:tx>
                <c:rich>
                  <a:bodyPr/>
                  <a:lstStyle/>
                  <a:p>
                    <a:fld id="{773C64EB-060B-4A20-92D9-A3F7E2A1F18B}"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54EE-422A-8173-85E89CCAC774}"/>
                </c:ext>
              </c:extLst>
            </c:dLbl>
            <c:dLbl>
              <c:idx val="7"/>
              <c:tx>
                <c:rich>
                  <a:bodyPr/>
                  <a:lstStyle/>
                  <a:p>
                    <a:fld id="{1CDFAC64-F7D7-4AA2-A536-3CE1C621883E}"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54EE-422A-8173-85E89CCAC774}"/>
                </c:ext>
              </c:extLst>
            </c:dLbl>
            <c:dLbl>
              <c:idx val="8"/>
              <c:tx>
                <c:rich>
                  <a:bodyPr/>
                  <a:lstStyle/>
                  <a:p>
                    <a:fld id="{88DDAC5B-7299-4314-A9DD-66412D418510}"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54EE-422A-8173-85E89CCAC774}"/>
                </c:ext>
              </c:extLst>
            </c:dLbl>
            <c:dLbl>
              <c:idx val="9"/>
              <c:tx>
                <c:rich>
                  <a:bodyPr/>
                  <a:lstStyle/>
                  <a:p>
                    <a:fld id="{E38C2736-EA01-444D-BF50-D2C0BE10F2BE}"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54EE-422A-8173-85E89CCAC774}"/>
                </c:ext>
              </c:extLst>
            </c:dLbl>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Progress'!$C$33:$C$42</c:f>
              <c:strCache>
                <c:ptCount val="10"/>
                <c:pt idx="0">
                  <c:v>Quants</c:v>
                </c:pt>
                <c:pt idx="1">
                  <c:v>Economics</c:v>
                </c:pt>
                <c:pt idx="2">
                  <c:v>FSA</c:v>
                </c:pt>
                <c:pt idx="3">
                  <c:v>Corp. Issuers</c:v>
                </c:pt>
                <c:pt idx="4">
                  <c:v>Equity</c:v>
                </c:pt>
                <c:pt idx="5">
                  <c:v>Fixed Income</c:v>
                </c:pt>
                <c:pt idx="6">
                  <c:v>Derivatives</c:v>
                </c:pt>
                <c:pt idx="7">
                  <c:v>Alt. Invest.</c:v>
                </c:pt>
                <c:pt idx="8">
                  <c:v>Portfolio-1 and 2</c:v>
                </c:pt>
                <c:pt idx="9">
                  <c:v>Ethics</c:v>
                </c:pt>
              </c:strCache>
            </c:strRef>
          </c:cat>
          <c:val>
            <c:numRef>
              <c:f>'📊 Progress'!$AC$33:$AC$42</c:f>
              <c:numCache>
                <c:formatCode>0%</c:formatCode>
                <c:ptCount val="10"/>
                <c:pt idx="0">
                  <c:v>1</c:v>
                </c:pt>
                <c:pt idx="1">
                  <c:v>1</c:v>
                </c:pt>
                <c:pt idx="2">
                  <c:v>1</c:v>
                </c:pt>
                <c:pt idx="3">
                  <c:v>1</c:v>
                </c:pt>
                <c:pt idx="4">
                  <c:v>1</c:v>
                </c:pt>
                <c:pt idx="5">
                  <c:v>1</c:v>
                </c:pt>
                <c:pt idx="6">
                  <c:v>1</c:v>
                </c:pt>
                <c:pt idx="7">
                  <c:v>1</c:v>
                </c:pt>
                <c:pt idx="8">
                  <c:v>1</c:v>
                </c:pt>
                <c:pt idx="9">
                  <c:v>1</c:v>
                </c:pt>
              </c:numCache>
            </c:numRef>
          </c:val>
          <c:extLst>
            <c:ext xmlns:c15="http://schemas.microsoft.com/office/drawing/2012/chart" uri="{02D57815-91ED-43cb-92C2-25804820EDAC}">
              <c15:datalabelsRange>
                <c15:f>'📊 Progress'!$Q$33:$Q$42</c15:f>
                <c15:dlblRangeCache>
                  <c:ptCount val="10"/>
                  <c:pt idx="0">
                    <c:v>18</c:v>
                  </c:pt>
                  <c:pt idx="1">
                    <c:v>15</c:v>
                  </c:pt>
                  <c:pt idx="2">
                    <c:v>20</c:v>
                  </c:pt>
                  <c:pt idx="3">
                    <c:v>7</c:v>
                  </c:pt>
                  <c:pt idx="4">
                    <c:v>8</c:v>
                  </c:pt>
                  <c:pt idx="5">
                    <c:v>19</c:v>
                  </c:pt>
                  <c:pt idx="6">
                    <c:v>10</c:v>
                  </c:pt>
                  <c:pt idx="7">
                    <c:v>7</c:v>
                  </c:pt>
                  <c:pt idx="8">
                    <c:v>6</c:v>
                  </c:pt>
                  <c:pt idx="9">
                    <c:v>5</c:v>
                  </c:pt>
                </c15:dlblRangeCache>
              </c15:datalabelsRange>
            </c:ext>
            <c:ext xmlns:c16="http://schemas.microsoft.com/office/drawing/2014/chart" uri="{C3380CC4-5D6E-409C-BE32-E72D297353CC}">
              <c16:uniqueId val="{00000015-54EE-422A-8173-85E89CCAC774}"/>
            </c:ext>
          </c:extLst>
        </c:ser>
        <c:ser>
          <c:idx val="5"/>
          <c:order val="5"/>
          <c:tx>
            <c:strRef>
              <c:f>'📊 Progress'!$AE$32</c:f>
              <c:strCache>
                <c:ptCount val="1"/>
                <c:pt idx="0">
                  <c:v>Revision(T)</c:v>
                </c:pt>
              </c:strCache>
            </c:strRef>
          </c:tx>
          <c:spPr>
            <a:solidFill>
              <a:schemeClr val="accent1">
                <a:lumMod val="20000"/>
                <a:lumOff val="80000"/>
              </a:schemeClr>
            </a:solidFill>
            <a:ln>
              <a:noFill/>
            </a:ln>
            <a:effectLst/>
          </c:spPr>
          <c:invertIfNegative val="0"/>
          <c:dLbls>
            <c:dLbl>
              <c:idx val="0"/>
              <c:tx>
                <c:rich>
                  <a:bodyPr/>
                  <a:lstStyle/>
                  <a:p>
                    <a:fld id="{45C2B26A-2973-4E04-9B96-C4FB2B455AFD}"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54EE-422A-8173-85E89CCAC774}"/>
                </c:ext>
              </c:extLst>
            </c:dLbl>
            <c:dLbl>
              <c:idx val="1"/>
              <c:tx>
                <c:rich>
                  <a:bodyPr/>
                  <a:lstStyle/>
                  <a:p>
                    <a:fld id="{A3EBF1D1-197A-4CC8-8B58-13E1708B589E}"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54EE-422A-8173-85E89CCAC774}"/>
                </c:ext>
              </c:extLst>
            </c:dLbl>
            <c:dLbl>
              <c:idx val="2"/>
              <c:tx>
                <c:rich>
                  <a:bodyPr/>
                  <a:lstStyle/>
                  <a:p>
                    <a:fld id="{83CC1DD2-E018-4975-A4D7-F47742B4B253}"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54EE-422A-8173-85E89CCAC774}"/>
                </c:ext>
              </c:extLst>
            </c:dLbl>
            <c:dLbl>
              <c:idx val="3"/>
              <c:tx>
                <c:rich>
                  <a:bodyPr/>
                  <a:lstStyle/>
                  <a:p>
                    <a:fld id="{CE55CCB7-F91D-4196-BAAB-6A5D17E02787}"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54EE-422A-8173-85E89CCAC774}"/>
                </c:ext>
              </c:extLst>
            </c:dLbl>
            <c:dLbl>
              <c:idx val="4"/>
              <c:tx>
                <c:rich>
                  <a:bodyPr/>
                  <a:lstStyle/>
                  <a:p>
                    <a:fld id="{12615B12-31C9-45A5-ADD0-A26EA59CE522}"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54EE-422A-8173-85E89CCAC774}"/>
                </c:ext>
              </c:extLst>
            </c:dLbl>
            <c:dLbl>
              <c:idx val="5"/>
              <c:tx>
                <c:rich>
                  <a:bodyPr/>
                  <a:lstStyle/>
                  <a:p>
                    <a:fld id="{4CF1102C-BF55-4DC4-82D4-421EB73ECC5A}"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54EE-422A-8173-85E89CCAC774}"/>
                </c:ext>
              </c:extLst>
            </c:dLbl>
            <c:dLbl>
              <c:idx val="6"/>
              <c:tx>
                <c:rich>
                  <a:bodyPr/>
                  <a:lstStyle/>
                  <a:p>
                    <a:fld id="{5E2CC1B7-1B52-4741-AB50-803147729CCA}"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54EE-422A-8173-85E89CCAC774}"/>
                </c:ext>
              </c:extLst>
            </c:dLbl>
            <c:dLbl>
              <c:idx val="7"/>
              <c:tx>
                <c:rich>
                  <a:bodyPr/>
                  <a:lstStyle/>
                  <a:p>
                    <a:fld id="{89AD83AD-BF34-4146-B6C5-56E2E9A9059B}"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54EE-422A-8173-85E89CCAC774}"/>
                </c:ext>
              </c:extLst>
            </c:dLbl>
            <c:dLbl>
              <c:idx val="8"/>
              <c:tx>
                <c:rich>
                  <a:bodyPr/>
                  <a:lstStyle/>
                  <a:p>
                    <a:fld id="{6C5B3A30-8029-4354-9739-E2ECDE313561}"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54EE-422A-8173-85E89CCAC774}"/>
                </c:ext>
              </c:extLst>
            </c:dLbl>
            <c:dLbl>
              <c:idx val="9"/>
              <c:tx>
                <c:rich>
                  <a:bodyPr/>
                  <a:lstStyle/>
                  <a:p>
                    <a:fld id="{105EEF5B-21A9-43F0-95E1-3B7B8AAA9005}"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54EE-422A-8173-85E89CCAC774}"/>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Progress'!$C$33:$C$42</c:f>
              <c:strCache>
                <c:ptCount val="10"/>
                <c:pt idx="0">
                  <c:v>Quants</c:v>
                </c:pt>
                <c:pt idx="1">
                  <c:v>Economics</c:v>
                </c:pt>
                <c:pt idx="2">
                  <c:v>FSA</c:v>
                </c:pt>
                <c:pt idx="3">
                  <c:v>Corp. Issuers</c:v>
                </c:pt>
                <c:pt idx="4">
                  <c:v>Equity</c:v>
                </c:pt>
                <c:pt idx="5">
                  <c:v>Fixed Income</c:v>
                </c:pt>
                <c:pt idx="6">
                  <c:v>Derivatives</c:v>
                </c:pt>
                <c:pt idx="7">
                  <c:v>Alt. Invest.</c:v>
                </c:pt>
                <c:pt idx="8">
                  <c:v>Portfolio-1 and 2</c:v>
                </c:pt>
                <c:pt idx="9">
                  <c:v>Ethics</c:v>
                </c:pt>
              </c:strCache>
            </c:strRef>
          </c:cat>
          <c:val>
            <c:numRef>
              <c:f>'📊 Progress'!$AE$33:$AE$42</c:f>
              <c:numCache>
                <c:formatCode>0%</c:formatCode>
                <c:ptCount val="10"/>
                <c:pt idx="0">
                  <c:v>1</c:v>
                </c:pt>
                <c:pt idx="1">
                  <c:v>1</c:v>
                </c:pt>
                <c:pt idx="2">
                  <c:v>1</c:v>
                </c:pt>
                <c:pt idx="3">
                  <c:v>1</c:v>
                </c:pt>
                <c:pt idx="4">
                  <c:v>1</c:v>
                </c:pt>
                <c:pt idx="5">
                  <c:v>1</c:v>
                </c:pt>
                <c:pt idx="6">
                  <c:v>1</c:v>
                </c:pt>
                <c:pt idx="7">
                  <c:v>1</c:v>
                </c:pt>
                <c:pt idx="8">
                  <c:v>1</c:v>
                </c:pt>
                <c:pt idx="9">
                  <c:v>1</c:v>
                </c:pt>
              </c:numCache>
            </c:numRef>
          </c:val>
          <c:extLst>
            <c:ext xmlns:c15="http://schemas.microsoft.com/office/drawing/2012/chart" uri="{02D57815-91ED-43cb-92C2-25804820EDAC}">
              <c15:datalabelsRange>
                <c15:f>'📊 Progress'!$O$33:$O$42</c15:f>
                <c15:dlblRangeCache>
                  <c:ptCount val="10"/>
                  <c:pt idx="0">
                    <c:v>18</c:v>
                  </c:pt>
                  <c:pt idx="1">
                    <c:v>15</c:v>
                  </c:pt>
                  <c:pt idx="2">
                    <c:v>20</c:v>
                  </c:pt>
                  <c:pt idx="3">
                    <c:v>7</c:v>
                  </c:pt>
                  <c:pt idx="4">
                    <c:v>8</c:v>
                  </c:pt>
                  <c:pt idx="5">
                    <c:v>19</c:v>
                  </c:pt>
                  <c:pt idx="6">
                    <c:v>10</c:v>
                  </c:pt>
                  <c:pt idx="7">
                    <c:v>7</c:v>
                  </c:pt>
                  <c:pt idx="8">
                    <c:v>6</c:v>
                  </c:pt>
                  <c:pt idx="9">
                    <c:v>5</c:v>
                  </c:pt>
                </c15:dlblRangeCache>
              </c15:datalabelsRange>
            </c:ext>
            <c:ext xmlns:c16="http://schemas.microsoft.com/office/drawing/2014/chart" uri="{C3380CC4-5D6E-409C-BE32-E72D297353CC}">
              <c16:uniqueId val="{00000020-54EE-422A-8173-85E89CCAC774}"/>
            </c:ext>
          </c:extLst>
        </c:ser>
        <c:ser>
          <c:idx val="7"/>
          <c:order val="7"/>
          <c:tx>
            <c:strRef>
              <c:f>'📊 Progress'!$AG$32</c:f>
              <c:strCache>
                <c:ptCount val="1"/>
                <c:pt idx="0">
                  <c:v>Extra Practice (T)</c:v>
                </c:pt>
              </c:strCache>
            </c:strRef>
          </c:tx>
          <c:spPr>
            <a:solidFill>
              <a:schemeClr val="accent4">
                <a:lumMod val="20000"/>
                <a:lumOff val="80000"/>
              </a:schemeClr>
            </a:solidFill>
            <a:ln>
              <a:noFill/>
            </a:ln>
            <a:effectLst/>
          </c:spPr>
          <c:invertIfNegative val="0"/>
          <c:dLbls>
            <c:dLbl>
              <c:idx val="0"/>
              <c:tx>
                <c:rich>
                  <a:bodyPr/>
                  <a:lstStyle/>
                  <a:p>
                    <a:fld id="{98EA2303-DAD7-4AE1-9712-DB492BF1CCE3}"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1-54EE-422A-8173-85E89CCAC774}"/>
                </c:ext>
              </c:extLst>
            </c:dLbl>
            <c:dLbl>
              <c:idx val="1"/>
              <c:tx>
                <c:rich>
                  <a:bodyPr/>
                  <a:lstStyle/>
                  <a:p>
                    <a:fld id="{503BE966-8354-471B-AE82-9B7E179CA14F}"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54EE-422A-8173-85E89CCAC774}"/>
                </c:ext>
              </c:extLst>
            </c:dLbl>
            <c:dLbl>
              <c:idx val="2"/>
              <c:tx>
                <c:rich>
                  <a:bodyPr/>
                  <a:lstStyle/>
                  <a:p>
                    <a:fld id="{0CFD5C17-56E0-463A-B9E5-D44D0888DADF}"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54EE-422A-8173-85E89CCAC774}"/>
                </c:ext>
              </c:extLst>
            </c:dLbl>
            <c:dLbl>
              <c:idx val="3"/>
              <c:tx>
                <c:rich>
                  <a:bodyPr/>
                  <a:lstStyle/>
                  <a:p>
                    <a:fld id="{6056699F-3B31-4335-A9D5-40C2C9A4278F}"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54EE-422A-8173-85E89CCAC774}"/>
                </c:ext>
              </c:extLst>
            </c:dLbl>
            <c:dLbl>
              <c:idx val="4"/>
              <c:tx>
                <c:rich>
                  <a:bodyPr/>
                  <a:lstStyle/>
                  <a:p>
                    <a:fld id="{9144396B-C547-4832-9E01-5ABC966CF158}"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54EE-422A-8173-85E89CCAC774}"/>
                </c:ext>
              </c:extLst>
            </c:dLbl>
            <c:dLbl>
              <c:idx val="5"/>
              <c:tx>
                <c:rich>
                  <a:bodyPr/>
                  <a:lstStyle/>
                  <a:p>
                    <a:fld id="{AEDE7F5A-9728-4AF2-823B-42B4B62AE499}"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54EE-422A-8173-85E89CCAC774}"/>
                </c:ext>
              </c:extLst>
            </c:dLbl>
            <c:dLbl>
              <c:idx val="6"/>
              <c:tx>
                <c:rich>
                  <a:bodyPr/>
                  <a:lstStyle/>
                  <a:p>
                    <a:fld id="{38F4083D-3081-4CD3-AA19-016931206373}"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54EE-422A-8173-85E89CCAC774}"/>
                </c:ext>
              </c:extLst>
            </c:dLbl>
            <c:dLbl>
              <c:idx val="7"/>
              <c:tx>
                <c:rich>
                  <a:bodyPr/>
                  <a:lstStyle/>
                  <a:p>
                    <a:fld id="{011E8F2E-31AE-4479-8EC4-C4A1B09E22A2}"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8-54EE-422A-8173-85E89CCAC774}"/>
                </c:ext>
              </c:extLst>
            </c:dLbl>
            <c:dLbl>
              <c:idx val="8"/>
              <c:tx>
                <c:rich>
                  <a:bodyPr/>
                  <a:lstStyle/>
                  <a:p>
                    <a:fld id="{2D1FDB35-48E7-4887-BD00-2AA4C84F4370}"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9-54EE-422A-8173-85E89CCAC774}"/>
                </c:ext>
              </c:extLst>
            </c:dLbl>
            <c:dLbl>
              <c:idx val="9"/>
              <c:tx>
                <c:rich>
                  <a:bodyPr/>
                  <a:lstStyle/>
                  <a:p>
                    <a:fld id="{980185C9-E631-47D2-A3AE-CDDE5924F1D7}"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A-54EE-422A-8173-85E89CCAC77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Progress'!$C$33:$C$42</c:f>
              <c:strCache>
                <c:ptCount val="10"/>
                <c:pt idx="0">
                  <c:v>Quants</c:v>
                </c:pt>
                <c:pt idx="1">
                  <c:v>Economics</c:v>
                </c:pt>
                <c:pt idx="2">
                  <c:v>FSA</c:v>
                </c:pt>
                <c:pt idx="3">
                  <c:v>Corp. Issuers</c:v>
                </c:pt>
                <c:pt idx="4">
                  <c:v>Equity</c:v>
                </c:pt>
                <c:pt idx="5">
                  <c:v>Fixed Income</c:v>
                </c:pt>
                <c:pt idx="6">
                  <c:v>Derivatives</c:v>
                </c:pt>
                <c:pt idx="7">
                  <c:v>Alt. Invest.</c:v>
                </c:pt>
                <c:pt idx="8">
                  <c:v>Portfolio-1 and 2</c:v>
                </c:pt>
                <c:pt idx="9">
                  <c:v>Ethics</c:v>
                </c:pt>
              </c:strCache>
            </c:strRef>
          </c:cat>
          <c:val>
            <c:numRef>
              <c:f>'📊 Progress'!$AG$33:$AG$42</c:f>
              <c:numCache>
                <c:formatCode>0%</c:formatCode>
                <c:ptCount val="10"/>
                <c:pt idx="0">
                  <c:v>1</c:v>
                </c:pt>
                <c:pt idx="1">
                  <c:v>1</c:v>
                </c:pt>
                <c:pt idx="2">
                  <c:v>1</c:v>
                </c:pt>
                <c:pt idx="3">
                  <c:v>1</c:v>
                </c:pt>
                <c:pt idx="4">
                  <c:v>1</c:v>
                </c:pt>
                <c:pt idx="5">
                  <c:v>1</c:v>
                </c:pt>
                <c:pt idx="6">
                  <c:v>1</c:v>
                </c:pt>
                <c:pt idx="7">
                  <c:v>1</c:v>
                </c:pt>
                <c:pt idx="8">
                  <c:v>1</c:v>
                </c:pt>
                <c:pt idx="9">
                  <c:v>1</c:v>
                </c:pt>
              </c:numCache>
            </c:numRef>
          </c:val>
          <c:extLst>
            <c:ext xmlns:c15="http://schemas.microsoft.com/office/drawing/2012/chart" uri="{02D57815-91ED-43cb-92C2-25804820EDAC}">
              <c15:datalabelsRange>
                <c15:f>'📊 Progress'!$V$33:$V$42</c15:f>
                <c15:dlblRangeCache>
                  <c:ptCount val="10"/>
                  <c:pt idx="0">
                    <c:v>18</c:v>
                  </c:pt>
                  <c:pt idx="1">
                    <c:v>15</c:v>
                  </c:pt>
                  <c:pt idx="2">
                    <c:v>20</c:v>
                  </c:pt>
                  <c:pt idx="3">
                    <c:v>7</c:v>
                  </c:pt>
                  <c:pt idx="4">
                    <c:v>8</c:v>
                  </c:pt>
                  <c:pt idx="5">
                    <c:v>19</c:v>
                  </c:pt>
                  <c:pt idx="6">
                    <c:v>10</c:v>
                  </c:pt>
                  <c:pt idx="7">
                    <c:v>7</c:v>
                  </c:pt>
                  <c:pt idx="8">
                    <c:v>6</c:v>
                  </c:pt>
                  <c:pt idx="9">
                    <c:v>5</c:v>
                  </c:pt>
                </c15:dlblRangeCache>
              </c15:datalabelsRange>
            </c:ext>
            <c:ext xmlns:c16="http://schemas.microsoft.com/office/drawing/2014/chart" uri="{C3380CC4-5D6E-409C-BE32-E72D297353CC}">
              <c16:uniqueId val="{0000002B-54EE-422A-8173-85E89CCAC774}"/>
            </c:ext>
          </c:extLst>
        </c:ser>
        <c:dLbls>
          <c:showLegendKey val="0"/>
          <c:showVal val="0"/>
          <c:showCatName val="0"/>
          <c:showSerName val="0"/>
          <c:showPercent val="0"/>
          <c:showBubbleSize val="0"/>
        </c:dLbls>
        <c:gapWidth val="50"/>
        <c:axId val="2102294271"/>
        <c:axId val="2102297183"/>
      </c:barChart>
      <c:barChart>
        <c:barDir val="col"/>
        <c:grouping val="clustered"/>
        <c:varyColors val="0"/>
        <c:ser>
          <c:idx val="0"/>
          <c:order val="0"/>
          <c:tx>
            <c:strRef>
              <c:f>'📊 Progress'!$Z$32</c:f>
              <c:strCache>
                <c:ptCount val="1"/>
                <c:pt idx="0">
                  <c:v>Syllubus(D)</c:v>
                </c:pt>
              </c:strCache>
            </c:strRef>
          </c:tx>
          <c:spPr>
            <a:solidFill>
              <a:schemeClr val="tx1">
                <a:lumMod val="50000"/>
                <a:lumOff val="50000"/>
              </a:schemeClr>
            </a:solidFill>
            <a:ln>
              <a:noFill/>
            </a:ln>
            <a:effectLst/>
          </c:spPr>
          <c:invertIfNegative val="0"/>
          <c:dLbls>
            <c:dLbl>
              <c:idx val="0"/>
              <c:tx>
                <c:rich>
                  <a:bodyPr/>
                  <a:lstStyle/>
                  <a:p>
                    <a:fld id="{FE0FB95C-AC1D-451B-9503-CF2E1B316F24}"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C-54EE-422A-8173-85E89CCAC774}"/>
                </c:ext>
              </c:extLst>
            </c:dLbl>
            <c:dLbl>
              <c:idx val="1"/>
              <c:tx>
                <c:rich>
                  <a:bodyPr/>
                  <a:lstStyle/>
                  <a:p>
                    <a:fld id="{7212CB59-974E-49F3-A644-2A355928771F}"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D-54EE-422A-8173-85E89CCAC774}"/>
                </c:ext>
              </c:extLst>
            </c:dLbl>
            <c:dLbl>
              <c:idx val="2"/>
              <c:tx>
                <c:rich>
                  <a:bodyPr/>
                  <a:lstStyle/>
                  <a:p>
                    <a:fld id="{F00B1711-1792-4163-AD38-D284FCD59441}"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E-54EE-422A-8173-85E89CCAC774}"/>
                </c:ext>
              </c:extLst>
            </c:dLbl>
            <c:dLbl>
              <c:idx val="3"/>
              <c:tx>
                <c:rich>
                  <a:bodyPr/>
                  <a:lstStyle/>
                  <a:p>
                    <a:fld id="{6061433E-BD2E-4167-81E3-DB93C88929B4}"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F-54EE-422A-8173-85E89CCAC774}"/>
                </c:ext>
              </c:extLst>
            </c:dLbl>
            <c:dLbl>
              <c:idx val="4"/>
              <c:tx>
                <c:rich>
                  <a:bodyPr/>
                  <a:lstStyle/>
                  <a:p>
                    <a:fld id="{1E67577F-133E-443A-8B4C-73B70F98EAAB}"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0-54EE-422A-8173-85E89CCAC774}"/>
                </c:ext>
              </c:extLst>
            </c:dLbl>
            <c:dLbl>
              <c:idx val="5"/>
              <c:tx>
                <c:rich>
                  <a:bodyPr/>
                  <a:lstStyle/>
                  <a:p>
                    <a:fld id="{354856A5-FF40-4628-A705-A7465DEAB860}"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1-54EE-422A-8173-85E89CCAC774}"/>
                </c:ext>
              </c:extLst>
            </c:dLbl>
            <c:dLbl>
              <c:idx val="6"/>
              <c:tx>
                <c:rich>
                  <a:bodyPr/>
                  <a:lstStyle/>
                  <a:p>
                    <a:fld id="{C9F929B2-FD82-49E2-A9C3-7EE37E9050FF}"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layout>
                    <c:manualLayout>
                      <c:w val="1.8319703245571296E-2"/>
                      <c:h val="6.6845954518598025E-2"/>
                    </c:manualLayout>
                  </c15:layout>
                  <c15:dlblFieldTable/>
                  <c15:showDataLabelsRange val="1"/>
                </c:ext>
                <c:ext xmlns:c16="http://schemas.microsoft.com/office/drawing/2014/chart" uri="{C3380CC4-5D6E-409C-BE32-E72D297353CC}">
                  <c16:uniqueId val="{00000032-54EE-422A-8173-85E89CCAC774}"/>
                </c:ext>
              </c:extLst>
            </c:dLbl>
            <c:dLbl>
              <c:idx val="7"/>
              <c:tx>
                <c:rich>
                  <a:bodyPr/>
                  <a:lstStyle/>
                  <a:p>
                    <a:fld id="{E50CC2F5-C32F-40B3-907A-F175C23953D4}"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3-54EE-422A-8173-85E89CCAC774}"/>
                </c:ext>
              </c:extLst>
            </c:dLbl>
            <c:dLbl>
              <c:idx val="8"/>
              <c:tx>
                <c:rich>
                  <a:bodyPr/>
                  <a:lstStyle/>
                  <a:p>
                    <a:fld id="{BA68A7B4-3533-4D3C-B2D0-CA45E67C25A8}"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4-54EE-422A-8173-85E89CCAC774}"/>
                </c:ext>
              </c:extLst>
            </c:dLbl>
            <c:dLbl>
              <c:idx val="9"/>
              <c:tx>
                <c:rich>
                  <a:bodyPr/>
                  <a:lstStyle/>
                  <a:p>
                    <a:fld id="{37C8A21F-B48F-4096-B9BD-81784FD2237D}"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5-54EE-422A-8173-85E89CCAC774}"/>
                </c:ext>
              </c:extLst>
            </c:dLbl>
            <c:numFmt formatCode="#,##0" sourceLinked="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Progress'!$C$33:$C$42</c:f>
              <c:strCache>
                <c:ptCount val="10"/>
                <c:pt idx="0">
                  <c:v>Quants</c:v>
                </c:pt>
                <c:pt idx="1">
                  <c:v>Economics</c:v>
                </c:pt>
                <c:pt idx="2">
                  <c:v>FSA</c:v>
                </c:pt>
                <c:pt idx="3">
                  <c:v>Corp. Issuers</c:v>
                </c:pt>
                <c:pt idx="4">
                  <c:v>Equity</c:v>
                </c:pt>
                <c:pt idx="5">
                  <c:v>Fixed Income</c:v>
                </c:pt>
                <c:pt idx="6">
                  <c:v>Derivatives</c:v>
                </c:pt>
                <c:pt idx="7">
                  <c:v>Alt. Invest.</c:v>
                </c:pt>
                <c:pt idx="8">
                  <c:v>Portfolio-1 and 2</c:v>
                </c:pt>
                <c:pt idx="9">
                  <c:v>Ethics</c:v>
                </c:pt>
              </c:strCache>
            </c:strRef>
          </c:cat>
          <c:val>
            <c:numRef>
              <c:f>'📊 Progress'!$Z$33:$Z$42</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5="http://schemas.microsoft.com/office/drawing/2012/chart" uri="{02D57815-91ED-43cb-92C2-25804820EDAC}">
              <c15:datalabelsRange>
                <c15:f>'📊 Progress'!$R$33:$R$42</c15:f>
                <c15:dlblRangeCache>
                  <c:ptCount val="10"/>
                </c15:dlblRangeCache>
              </c15:datalabelsRange>
            </c:ext>
            <c:ext xmlns:c16="http://schemas.microsoft.com/office/drawing/2014/chart" uri="{C3380CC4-5D6E-409C-BE32-E72D297353CC}">
              <c16:uniqueId val="{00000036-54EE-422A-8173-85E89CCAC774}"/>
            </c:ext>
          </c:extLst>
        </c:ser>
        <c:ser>
          <c:idx val="2"/>
          <c:order val="2"/>
          <c:tx>
            <c:strRef>
              <c:f>'📊 Progress'!$AB$32</c:f>
              <c:strCache>
                <c:ptCount val="1"/>
                <c:pt idx="0">
                  <c:v>Practice(D)</c:v>
                </c:pt>
              </c:strCache>
            </c:strRef>
          </c:tx>
          <c:spPr>
            <a:solidFill>
              <a:srgbClr val="EC7524"/>
            </a:solidFill>
            <a:ln>
              <a:noFill/>
            </a:ln>
            <a:effectLst/>
          </c:spPr>
          <c:invertIfNegative val="0"/>
          <c:dLbls>
            <c:dLbl>
              <c:idx val="0"/>
              <c:tx>
                <c:rich>
                  <a:bodyPr/>
                  <a:lstStyle/>
                  <a:p>
                    <a:fld id="{17A42A30-B27B-4BC6-8149-6F903174B5CA}"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7-54EE-422A-8173-85E89CCAC774}"/>
                </c:ext>
              </c:extLst>
            </c:dLbl>
            <c:dLbl>
              <c:idx val="1"/>
              <c:tx>
                <c:rich>
                  <a:bodyPr/>
                  <a:lstStyle/>
                  <a:p>
                    <a:fld id="{4134BE3C-E98E-45AF-9EC8-0FAB37B6090E}"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8-54EE-422A-8173-85E89CCAC774}"/>
                </c:ext>
              </c:extLst>
            </c:dLbl>
            <c:dLbl>
              <c:idx val="2"/>
              <c:tx>
                <c:rich>
                  <a:bodyPr/>
                  <a:lstStyle/>
                  <a:p>
                    <a:fld id="{49B0037C-9A9C-4B57-A265-0527C5858EBC}"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9-54EE-422A-8173-85E89CCAC774}"/>
                </c:ext>
              </c:extLst>
            </c:dLbl>
            <c:dLbl>
              <c:idx val="3"/>
              <c:tx>
                <c:rich>
                  <a:bodyPr/>
                  <a:lstStyle/>
                  <a:p>
                    <a:fld id="{E17FAA39-CD74-4099-B259-D27283E3E6AC}"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A-54EE-422A-8173-85E89CCAC774}"/>
                </c:ext>
              </c:extLst>
            </c:dLbl>
            <c:dLbl>
              <c:idx val="4"/>
              <c:tx>
                <c:rich>
                  <a:bodyPr/>
                  <a:lstStyle/>
                  <a:p>
                    <a:fld id="{4E1A6020-ADE9-4C06-A664-4D69F02A5F5E}"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B-54EE-422A-8173-85E89CCAC774}"/>
                </c:ext>
              </c:extLst>
            </c:dLbl>
            <c:dLbl>
              <c:idx val="5"/>
              <c:tx>
                <c:rich>
                  <a:bodyPr/>
                  <a:lstStyle/>
                  <a:p>
                    <a:fld id="{6831FA52-C76A-4E58-A011-F69F6B2DDF95}"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C-54EE-422A-8173-85E89CCAC774}"/>
                </c:ext>
              </c:extLst>
            </c:dLbl>
            <c:dLbl>
              <c:idx val="6"/>
              <c:tx>
                <c:rich>
                  <a:bodyPr/>
                  <a:lstStyle/>
                  <a:p>
                    <a:fld id="{FFBF8EF1-3C45-4165-BE1B-3AD47A51D6CC}"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D-54EE-422A-8173-85E89CCAC774}"/>
                </c:ext>
              </c:extLst>
            </c:dLbl>
            <c:dLbl>
              <c:idx val="7"/>
              <c:tx>
                <c:rich>
                  <a:bodyPr/>
                  <a:lstStyle/>
                  <a:p>
                    <a:fld id="{0B6241CC-5C9D-4AE0-B824-C3F17C55D0A0}"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E-54EE-422A-8173-85E89CCAC774}"/>
                </c:ext>
              </c:extLst>
            </c:dLbl>
            <c:dLbl>
              <c:idx val="8"/>
              <c:tx>
                <c:rich>
                  <a:bodyPr/>
                  <a:lstStyle/>
                  <a:p>
                    <a:fld id="{F76A73C9-DC7A-47DE-ACA9-3EA08F32873F}"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F-54EE-422A-8173-85E89CCAC774}"/>
                </c:ext>
              </c:extLst>
            </c:dLbl>
            <c:dLbl>
              <c:idx val="9"/>
              <c:tx>
                <c:rich>
                  <a:bodyPr/>
                  <a:lstStyle/>
                  <a:p>
                    <a:fld id="{D2A50E49-3780-4E95-BD7A-C7CFFC179E75}"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0-54EE-422A-8173-85E89CCAC774}"/>
                </c:ext>
              </c:extLst>
            </c:dLbl>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Progress'!$C$33:$C$42</c:f>
              <c:strCache>
                <c:ptCount val="10"/>
                <c:pt idx="0">
                  <c:v>Quants</c:v>
                </c:pt>
                <c:pt idx="1">
                  <c:v>Economics</c:v>
                </c:pt>
                <c:pt idx="2">
                  <c:v>FSA</c:v>
                </c:pt>
                <c:pt idx="3">
                  <c:v>Corp. Issuers</c:v>
                </c:pt>
                <c:pt idx="4">
                  <c:v>Equity</c:v>
                </c:pt>
                <c:pt idx="5">
                  <c:v>Fixed Income</c:v>
                </c:pt>
                <c:pt idx="6">
                  <c:v>Derivatives</c:v>
                </c:pt>
                <c:pt idx="7">
                  <c:v>Alt. Invest.</c:v>
                </c:pt>
                <c:pt idx="8">
                  <c:v>Portfolio-1 and 2</c:v>
                </c:pt>
                <c:pt idx="9">
                  <c:v>Ethics</c:v>
                </c:pt>
              </c:strCache>
            </c:strRef>
          </c:cat>
          <c:val>
            <c:numRef>
              <c:f>'📊 Progress'!$AB$33:$AB$42</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5="http://schemas.microsoft.com/office/drawing/2012/chart" uri="{02D57815-91ED-43cb-92C2-25804820EDAC}">
              <c15:datalabelsRange>
                <c15:f>'📊 Progress'!$P$33:$P$42</c15:f>
                <c15:dlblRangeCache>
                  <c:ptCount val="10"/>
                </c15:dlblRangeCache>
              </c15:datalabelsRange>
            </c:ext>
            <c:ext xmlns:c16="http://schemas.microsoft.com/office/drawing/2014/chart" uri="{C3380CC4-5D6E-409C-BE32-E72D297353CC}">
              <c16:uniqueId val="{00000041-54EE-422A-8173-85E89CCAC774}"/>
            </c:ext>
          </c:extLst>
        </c:ser>
        <c:ser>
          <c:idx val="4"/>
          <c:order val="4"/>
          <c:tx>
            <c:strRef>
              <c:f>'📊 Progress'!$AD$32</c:f>
              <c:strCache>
                <c:ptCount val="1"/>
                <c:pt idx="0">
                  <c:v>Revision(D)</c:v>
                </c:pt>
              </c:strCache>
            </c:strRef>
          </c:tx>
          <c:spPr>
            <a:solidFill>
              <a:schemeClr val="accent1">
                <a:lumMod val="60000"/>
                <a:lumOff val="40000"/>
              </a:schemeClr>
            </a:solidFill>
            <a:ln>
              <a:noFill/>
            </a:ln>
            <a:effectLst/>
          </c:spPr>
          <c:invertIfNegative val="0"/>
          <c:dLbls>
            <c:dLbl>
              <c:idx val="0"/>
              <c:tx>
                <c:rich>
                  <a:bodyPr/>
                  <a:lstStyle/>
                  <a:p>
                    <a:fld id="{BD62334D-79FE-494E-AC42-B94DB1D04C66}"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2-54EE-422A-8173-85E89CCAC774}"/>
                </c:ext>
              </c:extLst>
            </c:dLbl>
            <c:dLbl>
              <c:idx val="1"/>
              <c:tx>
                <c:rich>
                  <a:bodyPr/>
                  <a:lstStyle/>
                  <a:p>
                    <a:fld id="{B24E93B2-FEE4-4478-A882-E44F2D422A00}"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3-54EE-422A-8173-85E89CCAC774}"/>
                </c:ext>
              </c:extLst>
            </c:dLbl>
            <c:dLbl>
              <c:idx val="2"/>
              <c:tx>
                <c:rich>
                  <a:bodyPr/>
                  <a:lstStyle/>
                  <a:p>
                    <a:fld id="{C4D30FC0-6028-446B-9360-25DB95F9860C}"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4-54EE-422A-8173-85E89CCAC774}"/>
                </c:ext>
              </c:extLst>
            </c:dLbl>
            <c:dLbl>
              <c:idx val="3"/>
              <c:tx>
                <c:rich>
                  <a:bodyPr/>
                  <a:lstStyle/>
                  <a:p>
                    <a:fld id="{095ED544-1EC2-4969-BAB9-F2701AD4EDE9}"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5-54EE-422A-8173-85E89CCAC774}"/>
                </c:ext>
              </c:extLst>
            </c:dLbl>
            <c:dLbl>
              <c:idx val="4"/>
              <c:tx>
                <c:rich>
                  <a:bodyPr/>
                  <a:lstStyle/>
                  <a:p>
                    <a:fld id="{3FFC3454-5F86-486A-B341-338AC08FC22F}"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6-54EE-422A-8173-85E89CCAC774}"/>
                </c:ext>
              </c:extLst>
            </c:dLbl>
            <c:dLbl>
              <c:idx val="5"/>
              <c:tx>
                <c:rich>
                  <a:bodyPr/>
                  <a:lstStyle/>
                  <a:p>
                    <a:fld id="{95F82040-91C5-477A-9769-5AA2E766FD0B}"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7-54EE-422A-8173-85E89CCAC774}"/>
                </c:ext>
              </c:extLst>
            </c:dLbl>
            <c:dLbl>
              <c:idx val="6"/>
              <c:tx>
                <c:rich>
                  <a:bodyPr/>
                  <a:lstStyle/>
                  <a:p>
                    <a:fld id="{C0ACC2CE-6AE9-455E-A6FC-F2A34BE1FDAC}"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8-54EE-422A-8173-85E89CCAC774}"/>
                </c:ext>
              </c:extLst>
            </c:dLbl>
            <c:dLbl>
              <c:idx val="7"/>
              <c:tx>
                <c:rich>
                  <a:bodyPr/>
                  <a:lstStyle/>
                  <a:p>
                    <a:fld id="{12A92527-6004-4695-9018-9D0D34DBBDB1}"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9-54EE-422A-8173-85E89CCAC774}"/>
                </c:ext>
              </c:extLst>
            </c:dLbl>
            <c:dLbl>
              <c:idx val="8"/>
              <c:tx>
                <c:rich>
                  <a:bodyPr/>
                  <a:lstStyle/>
                  <a:p>
                    <a:fld id="{851AE1C7-285B-4A6E-8B5B-03FC02DDAE0D}"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A-54EE-422A-8173-85E89CCAC774}"/>
                </c:ext>
              </c:extLst>
            </c:dLbl>
            <c:dLbl>
              <c:idx val="9"/>
              <c:tx>
                <c:rich>
                  <a:bodyPr/>
                  <a:lstStyle/>
                  <a:p>
                    <a:fld id="{1E586E5B-5E59-4E0A-AF2B-A6D73B402A73}"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B-54EE-422A-8173-85E89CCAC77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Progress'!$C$33:$C$42</c:f>
              <c:strCache>
                <c:ptCount val="10"/>
                <c:pt idx="0">
                  <c:v>Quants</c:v>
                </c:pt>
                <c:pt idx="1">
                  <c:v>Economics</c:v>
                </c:pt>
                <c:pt idx="2">
                  <c:v>FSA</c:v>
                </c:pt>
                <c:pt idx="3">
                  <c:v>Corp. Issuers</c:v>
                </c:pt>
                <c:pt idx="4">
                  <c:v>Equity</c:v>
                </c:pt>
                <c:pt idx="5">
                  <c:v>Fixed Income</c:v>
                </c:pt>
                <c:pt idx="6">
                  <c:v>Derivatives</c:v>
                </c:pt>
                <c:pt idx="7">
                  <c:v>Alt. Invest.</c:v>
                </c:pt>
                <c:pt idx="8">
                  <c:v>Portfolio-1 and 2</c:v>
                </c:pt>
                <c:pt idx="9">
                  <c:v>Ethics</c:v>
                </c:pt>
              </c:strCache>
            </c:strRef>
          </c:cat>
          <c:val>
            <c:numRef>
              <c:f>'📊 Progress'!$AD$33:$AD$42</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5="http://schemas.microsoft.com/office/drawing/2012/chart" uri="{02D57815-91ED-43cb-92C2-25804820EDAC}">
              <c15:datalabelsRange>
                <c15:f>'📊 Progress'!$I$33:$I$42</c15:f>
                <c15:dlblRangeCache>
                  <c:ptCount val="10"/>
                </c15:dlblRangeCache>
              </c15:datalabelsRange>
            </c:ext>
            <c:ext xmlns:c16="http://schemas.microsoft.com/office/drawing/2014/chart" uri="{C3380CC4-5D6E-409C-BE32-E72D297353CC}">
              <c16:uniqueId val="{0000004C-54EE-422A-8173-85E89CCAC774}"/>
            </c:ext>
          </c:extLst>
        </c:ser>
        <c:ser>
          <c:idx val="6"/>
          <c:order val="6"/>
          <c:tx>
            <c:strRef>
              <c:f>'📊 Progress'!$AF$32</c:f>
              <c:strCache>
                <c:ptCount val="1"/>
                <c:pt idx="0">
                  <c:v>Extra Practice (D)</c:v>
                </c:pt>
              </c:strCache>
            </c:strRef>
          </c:tx>
          <c:spPr>
            <a:solidFill>
              <a:schemeClr val="accent4">
                <a:lumMod val="60000"/>
                <a:lumOff val="40000"/>
              </a:schemeClr>
            </a:solidFill>
            <a:ln>
              <a:noFill/>
            </a:ln>
            <a:effectLst/>
          </c:spPr>
          <c:invertIfNegative val="0"/>
          <c:dLbls>
            <c:dLbl>
              <c:idx val="0"/>
              <c:tx>
                <c:rich>
                  <a:bodyPr/>
                  <a:lstStyle/>
                  <a:p>
                    <a:fld id="{07407730-E84B-4BA8-87EF-FF0F3CB04461}"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D-54EE-422A-8173-85E89CCAC774}"/>
                </c:ext>
              </c:extLst>
            </c:dLbl>
            <c:dLbl>
              <c:idx val="1"/>
              <c:tx>
                <c:rich>
                  <a:bodyPr/>
                  <a:lstStyle/>
                  <a:p>
                    <a:fld id="{770783EB-1C9D-47DA-BB4A-C57A4210CF37}"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E-54EE-422A-8173-85E89CCAC774}"/>
                </c:ext>
              </c:extLst>
            </c:dLbl>
            <c:dLbl>
              <c:idx val="2"/>
              <c:tx>
                <c:rich>
                  <a:bodyPr/>
                  <a:lstStyle/>
                  <a:p>
                    <a:fld id="{593B122D-2EB6-474F-A853-CE26F0738AB7}"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F-54EE-422A-8173-85E89CCAC774}"/>
                </c:ext>
              </c:extLst>
            </c:dLbl>
            <c:dLbl>
              <c:idx val="3"/>
              <c:tx>
                <c:rich>
                  <a:bodyPr/>
                  <a:lstStyle/>
                  <a:p>
                    <a:fld id="{110FADED-A9B1-40EE-A61A-FC9935BC4A53}"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0-54EE-422A-8173-85E89CCAC774}"/>
                </c:ext>
              </c:extLst>
            </c:dLbl>
            <c:dLbl>
              <c:idx val="4"/>
              <c:tx>
                <c:rich>
                  <a:bodyPr/>
                  <a:lstStyle/>
                  <a:p>
                    <a:fld id="{3689E97E-C788-4C3B-BF99-5CDF6ACCF0E4}"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1-54EE-422A-8173-85E89CCAC774}"/>
                </c:ext>
              </c:extLst>
            </c:dLbl>
            <c:dLbl>
              <c:idx val="5"/>
              <c:tx>
                <c:rich>
                  <a:bodyPr/>
                  <a:lstStyle/>
                  <a:p>
                    <a:fld id="{5FCC0320-FF78-447B-9179-CACBDB98B248}"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2-54EE-422A-8173-85E89CCAC774}"/>
                </c:ext>
              </c:extLst>
            </c:dLbl>
            <c:dLbl>
              <c:idx val="6"/>
              <c:tx>
                <c:rich>
                  <a:bodyPr/>
                  <a:lstStyle/>
                  <a:p>
                    <a:fld id="{71440AB1-DEB6-41A7-BDFE-CB654A971545}"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3-54EE-422A-8173-85E89CCAC774}"/>
                </c:ext>
              </c:extLst>
            </c:dLbl>
            <c:dLbl>
              <c:idx val="7"/>
              <c:tx>
                <c:rich>
                  <a:bodyPr/>
                  <a:lstStyle/>
                  <a:p>
                    <a:fld id="{9DB06E58-E5E3-4941-8EC2-0085678C2478}"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4-54EE-422A-8173-85E89CCAC774}"/>
                </c:ext>
              </c:extLst>
            </c:dLbl>
            <c:dLbl>
              <c:idx val="8"/>
              <c:tx>
                <c:rich>
                  <a:bodyPr/>
                  <a:lstStyle/>
                  <a:p>
                    <a:fld id="{57DCE0AE-1E08-4892-8522-41A872BD8281}"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5-54EE-422A-8173-85E89CCAC774}"/>
                </c:ext>
              </c:extLst>
            </c:dLbl>
            <c:dLbl>
              <c:idx val="9"/>
              <c:tx>
                <c:rich>
                  <a:bodyPr/>
                  <a:lstStyle/>
                  <a:p>
                    <a:fld id="{9D135A33-7228-4FD4-BEE4-86FCB97CB4B2}"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6-54EE-422A-8173-85E89CCAC77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Progress'!$C$33:$C$42</c:f>
              <c:strCache>
                <c:ptCount val="10"/>
                <c:pt idx="0">
                  <c:v>Quants</c:v>
                </c:pt>
                <c:pt idx="1">
                  <c:v>Economics</c:v>
                </c:pt>
                <c:pt idx="2">
                  <c:v>FSA</c:v>
                </c:pt>
                <c:pt idx="3">
                  <c:v>Corp. Issuers</c:v>
                </c:pt>
                <c:pt idx="4">
                  <c:v>Equity</c:v>
                </c:pt>
                <c:pt idx="5">
                  <c:v>Fixed Income</c:v>
                </c:pt>
                <c:pt idx="6">
                  <c:v>Derivatives</c:v>
                </c:pt>
                <c:pt idx="7">
                  <c:v>Alt. Invest.</c:v>
                </c:pt>
                <c:pt idx="8">
                  <c:v>Portfolio-1 and 2</c:v>
                </c:pt>
                <c:pt idx="9">
                  <c:v>Ethics</c:v>
                </c:pt>
              </c:strCache>
            </c:strRef>
          </c:cat>
          <c:val>
            <c:numRef>
              <c:f>'📊 Progress'!$AF$33:$AF$42</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5="http://schemas.microsoft.com/office/drawing/2012/chart" uri="{02D57815-91ED-43cb-92C2-25804820EDAC}">
              <c15:datalabelsRange>
                <c15:f>'📊 Progress'!$U$33:$U$42</c15:f>
                <c15:dlblRangeCache>
                  <c:ptCount val="10"/>
                </c15:dlblRangeCache>
              </c15:datalabelsRange>
            </c:ext>
            <c:ext xmlns:c16="http://schemas.microsoft.com/office/drawing/2014/chart" uri="{C3380CC4-5D6E-409C-BE32-E72D297353CC}">
              <c16:uniqueId val="{00000057-54EE-422A-8173-85E89CCAC774}"/>
            </c:ext>
          </c:extLst>
        </c:ser>
        <c:dLbls>
          <c:showLegendKey val="0"/>
          <c:showVal val="0"/>
          <c:showCatName val="0"/>
          <c:showSerName val="0"/>
          <c:showPercent val="0"/>
          <c:showBubbleSize val="0"/>
        </c:dLbls>
        <c:gapWidth val="50"/>
        <c:axId val="953655888"/>
        <c:axId val="953655056"/>
      </c:barChart>
      <c:lineChart>
        <c:grouping val="standard"/>
        <c:varyColors val="0"/>
        <c:ser>
          <c:idx val="8"/>
          <c:order val="8"/>
          <c:tx>
            <c:strRef>
              <c:f>'📊 Progress'!$AH$32</c:f>
              <c:strCache>
                <c:ptCount val="1"/>
                <c:pt idx="0">
                  <c:v>Confidence</c:v>
                </c:pt>
              </c:strCache>
            </c:strRef>
          </c:tx>
          <c:spPr>
            <a:ln w="57150" cap="rnd">
              <a:solidFill>
                <a:schemeClr val="bg1"/>
              </a:solidFill>
              <a:round/>
            </a:ln>
            <a:effectLst/>
          </c:spPr>
          <c:marker>
            <c:symbol val="none"/>
          </c:marker>
          <c:cat>
            <c:strRef>
              <c:f>'📊 Progress'!$C$33:$C$42</c:f>
              <c:strCache>
                <c:ptCount val="10"/>
                <c:pt idx="0">
                  <c:v>Quants</c:v>
                </c:pt>
                <c:pt idx="1">
                  <c:v>Economics</c:v>
                </c:pt>
                <c:pt idx="2">
                  <c:v>FSA</c:v>
                </c:pt>
                <c:pt idx="3">
                  <c:v>Corp. Issuers</c:v>
                </c:pt>
                <c:pt idx="4">
                  <c:v>Equity</c:v>
                </c:pt>
                <c:pt idx="5">
                  <c:v>Fixed Income</c:v>
                </c:pt>
                <c:pt idx="6">
                  <c:v>Derivatives</c:v>
                </c:pt>
                <c:pt idx="7">
                  <c:v>Alt. Invest.</c:v>
                </c:pt>
                <c:pt idx="8">
                  <c:v>Portfolio-1 and 2</c:v>
                </c:pt>
                <c:pt idx="9">
                  <c:v>Ethics</c:v>
                </c:pt>
              </c:strCache>
            </c:strRef>
          </c:cat>
          <c:val>
            <c:numRef>
              <c:f>'📊 Progress'!$AH$33:$AH$42</c:f>
              <c:numCache>
                <c:formatCode>0%</c:formatCode>
                <c:ptCount val="10"/>
                <c:pt idx="0">
                  <c:v>0.49545454545454543</c:v>
                </c:pt>
                <c:pt idx="1">
                  <c:v>0.53103448275862064</c:v>
                </c:pt>
                <c:pt idx="2">
                  <c:v>0.44500000000000001</c:v>
                </c:pt>
                <c:pt idx="3">
                  <c:v>0.44545454545454549</c:v>
                </c:pt>
                <c:pt idx="4">
                  <c:v>0.47096774193548391</c:v>
                </c:pt>
                <c:pt idx="5">
                  <c:v>0.51372549019607838</c:v>
                </c:pt>
                <c:pt idx="6">
                  <c:v>0.46666666666666662</c:v>
                </c:pt>
                <c:pt idx="7">
                  <c:v>0.43333333333333329</c:v>
                </c:pt>
                <c:pt idx="8">
                  <c:v>0.52</c:v>
                </c:pt>
                <c:pt idx="9">
                  <c:v>0.51666666666666672</c:v>
                </c:pt>
              </c:numCache>
            </c:numRef>
          </c:val>
          <c:smooth val="0"/>
          <c:extLst>
            <c:ext xmlns:c16="http://schemas.microsoft.com/office/drawing/2014/chart" uri="{C3380CC4-5D6E-409C-BE32-E72D297353CC}">
              <c16:uniqueId val="{00000058-54EE-422A-8173-85E89CCAC774}"/>
            </c:ext>
          </c:extLst>
        </c:ser>
        <c:dLbls>
          <c:showLegendKey val="0"/>
          <c:showVal val="0"/>
          <c:showCatName val="0"/>
          <c:showSerName val="0"/>
          <c:showPercent val="0"/>
          <c:showBubbleSize val="0"/>
        </c:dLbls>
        <c:marker val="1"/>
        <c:smooth val="0"/>
        <c:axId val="953655888"/>
        <c:axId val="953655056"/>
      </c:lineChart>
      <c:catAx>
        <c:axId val="2102294271"/>
        <c:scaling>
          <c:orientation val="minMax"/>
        </c:scaling>
        <c:delete val="1"/>
        <c:axPos val="b"/>
        <c:numFmt formatCode="General" sourceLinked="1"/>
        <c:majorTickMark val="out"/>
        <c:minorTickMark val="none"/>
        <c:tickLblPos val="nextTo"/>
        <c:crossAx val="2102297183"/>
        <c:crosses val="autoZero"/>
        <c:auto val="1"/>
        <c:lblAlgn val="ctr"/>
        <c:lblOffset val="100"/>
        <c:noMultiLvlLbl val="0"/>
      </c:catAx>
      <c:valAx>
        <c:axId val="2102297183"/>
        <c:scaling>
          <c:orientation val="minMax"/>
          <c:max val="1"/>
        </c:scaling>
        <c:delete val="0"/>
        <c:axPos val="l"/>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50000"/>
                    <a:lumOff val="50000"/>
                  </a:schemeClr>
                </a:solidFill>
                <a:latin typeface="Tw Cen MT" panose="020B0602020104020603" pitchFamily="34" charset="0"/>
                <a:ea typeface="+mn-ea"/>
                <a:cs typeface="+mn-cs"/>
              </a:defRPr>
            </a:pPr>
            <a:endParaRPr lang="en-US"/>
          </a:p>
        </c:txPr>
        <c:crossAx val="2102294271"/>
        <c:crosses val="autoZero"/>
        <c:crossBetween val="between"/>
        <c:majorUnit val="0.2"/>
      </c:valAx>
      <c:valAx>
        <c:axId val="953655056"/>
        <c:scaling>
          <c:orientation val="minMax"/>
        </c:scaling>
        <c:delete val="1"/>
        <c:axPos val="r"/>
        <c:numFmt formatCode="0%" sourceLinked="1"/>
        <c:majorTickMark val="out"/>
        <c:minorTickMark val="none"/>
        <c:tickLblPos val="nextTo"/>
        <c:crossAx val="953655888"/>
        <c:crosses val="max"/>
        <c:crossBetween val="between"/>
      </c:valAx>
      <c:catAx>
        <c:axId val="953655888"/>
        <c:scaling>
          <c:orientation val="minMax"/>
        </c:scaling>
        <c:delete val="0"/>
        <c:axPos val="t"/>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50000"/>
                    <a:lumOff val="50000"/>
                  </a:schemeClr>
                </a:solidFill>
                <a:latin typeface="Tw Cen MT" panose="020B0602020104020603" pitchFamily="34" charset="0"/>
                <a:ea typeface="+mn-ea"/>
                <a:cs typeface="+mn-cs"/>
              </a:defRPr>
            </a:pPr>
            <a:endParaRPr lang="en-US"/>
          </a:p>
        </c:txPr>
        <c:crossAx val="953655056"/>
        <c:crosses val="max"/>
        <c:auto val="0"/>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sz="1200" b="1">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pivotSource>
    <c:name>[CFA Level 1 Performance Tracker '25.xlsx]Working!PivotTable4</c:name>
    <c:fmtId val="5"/>
  </c:pivotSource>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US" sz="1800">
                <a:solidFill>
                  <a:sysClr val="windowText" lastClr="000000"/>
                </a:solidFill>
                <a:latin typeface="Tw Cen MT" panose="020B0602020104020603" pitchFamily="34" charset="0"/>
              </a:rPr>
              <a:t>Revision</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1">
              <a:shade val="76000"/>
            </a:schemeClr>
          </a:solidFill>
          <a:ln w="19050">
            <a:solidFill>
              <a:schemeClr val="lt1"/>
            </a:solidFill>
          </a:ln>
          <a:effectLst/>
        </c:spPr>
      </c:pivotFmt>
      <c:pivotFmt>
        <c:idx val="2"/>
        <c:spPr>
          <a:solidFill>
            <a:schemeClr val="accent1">
              <a:shade val="76000"/>
            </a:schemeClr>
          </a:solidFill>
          <a:ln w="19050">
            <a:solidFill>
              <a:schemeClr val="lt1"/>
            </a:solidFill>
          </a:ln>
          <a:effectLst/>
        </c:spPr>
      </c:pivotFmt>
      <c:pivotFmt>
        <c:idx val="3"/>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4"/>
        <c:spPr>
          <a:solidFill>
            <a:schemeClr val="accent1">
              <a:shade val="76000"/>
            </a:schemeClr>
          </a:solidFill>
          <a:ln w="19050">
            <a:solidFill>
              <a:schemeClr val="lt1"/>
            </a:solidFill>
          </a:ln>
          <a:effectLst/>
        </c:spPr>
      </c:pivotFmt>
      <c:pivotFmt>
        <c:idx val="5"/>
        <c:spPr>
          <a:solidFill>
            <a:schemeClr val="accent1">
              <a:lumMod val="60000"/>
              <a:lumOff val="40000"/>
            </a:schemeClr>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6"/>
        <c:spPr>
          <a:solidFill>
            <a:schemeClr val="accent1">
              <a:lumMod val="20000"/>
              <a:lumOff val="80000"/>
            </a:schemeClr>
          </a:solidFill>
          <a:ln w="19050">
            <a:solidFill>
              <a:schemeClr val="accent1">
                <a:lumMod val="60000"/>
                <a:lumOff val="40000"/>
              </a:schemeClr>
            </a:solidFill>
          </a:ln>
          <a:effectLst/>
        </c:spPr>
      </c:pivotFmt>
      <c:pivotFmt>
        <c:idx val="7"/>
        <c:spPr>
          <a:solidFill>
            <a:schemeClr val="accent1">
              <a:lumMod val="60000"/>
              <a:lumOff val="40000"/>
            </a:schemeClr>
          </a:solidFill>
          <a:ln w="19050">
            <a:solidFill>
              <a:schemeClr val="accent1">
                <a:lumMod val="60000"/>
                <a:lumOff val="40000"/>
              </a:schemeClr>
            </a:solidFill>
          </a:ln>
          <a:effectLst/>
        </c:spPr>
      </c:pivotFmt>
      <c:pivotFmt>
        <c:idx val="8"/>
        <c:spPr>
          <a:solidFill>
            <a:schemeClr val="accent5">
              <a:lumMod val="60000"/>
              <a:lumOff val="40000"/>
            </a:schemeClr>
          </a:solidFill>
          <a:ln w="19050">
            <a:solidFill>
              <a:schemeClr val="accent5">
                <a:lumMod val="60000"/>
                <a:lumOff val="40000"/>
              </a:schemeClr>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9"/>
        <c:spPr>
          <a:solidFill>
            <a:schemeClr val="accent5">
              <a:lumMod val="20000"/>
              <a:lumOff val="80000"/>
            </a:schemeClr>
          </a:solidFill>
          <a:ln w="19050">
            <a:solidFill>
              <a:schemeClr val="accent5">
                <a:lumMod val="60000"/>
                <a:lumOff val="40000"/>
              </a:schemeClr>
            </a:solidFill>
          </a:ln>
          <a:effectLst/>
        </c:spPr>
      </c:pivotFmt>
      <c:pivotFmt>
        <c:idx val="10"/>
        <c:spPr>
          <a:solidFill>
            <a:schemeClr val="accent5">
              <a:lumMod val="60000"/>
              <a:lumOff val="40000"/>
            </a:schemeClr>
          </a:solidFill>
          <a:ln w="19050">
            <a:solidFill>
              <a:schemeClr val="accent5">
                <a:lumMod val="60000"/>
                <a:lumOff val="40000"/>
              </a:schemeClr>
            </a:solidFill>
          </a:ln>
          <a:effectLst/>
        </c:spPr>
      </c:pivotFmt>
    </c:pivotFmts>
    <c:plotArea>
      <c:layout/>
      <c:doughnutChart>
        <c:varyColors val="1"/>
        <c:ser>
          <c:idx val="0"/>
          <c:order val="0"/>
          <c:tx>
            <c:strRef>
              <c:f>Working!$C$92</c:f>
              <c:strCache>
                <c:ptCount val="1"/>
                <c:pt idx="0">
                  <c:v>Total</c:v>
                </c:pt>
              </c:strCache>
            </c:strRef>
          </c:tx>
          <c:spPr>
            <a:solidFill>
              <a:schemeClr val="accent5">
                <a:lumMod val="60000"/>
                <a:lumOff val="40000"/>
              </a:schemeClr>
            </a:solidFill>
            <a:ln>
              <a:solidFill>
                <a:schemeClr val="accent5">
                  <a:lumMod val="60000"/>
                  <a:lumOff val="40000"/>
                </a:schemeClr>
              </a:solidFill>
            </a:ln>
          </c:spPr>
          <c:dPt>
            <c:idx val="0"/>
            <c:bubble3D val="0"/>
            <c:spPr>
              <a:solidFill>
                <a:schemeClr val="accent5">
                  <a:lumMod val="20000"/>
                  <a:lumOff val="80000"/>
                </a:schemeClr>
              </a:solidFill>
              <a:ln w="19050">
                <a:solidFill>
                  <a:schemeClr val="accent5">
                    <a:lumMod val="60000"/>
                    <a:lumOff val="40000"/>
                  </a:schemeClr>
                </a:solidFill>
              </a:ln>
              <a:effectLst/>
            </c:spPr>
            <c:extLst>
              <c:ext xmlns:c16="http://schemas.microsoft.com/office/drawing/2014/chart" uri="{C3380CC4-5D6E-409C-BE32-E72D297353CC}">
                <c16:uniqueId val="{00000001-6A47-4273-9569-0E9280344B5A}"/>
              </c:ext>
            </c:extLst>
          </c:dPt>
          <c:dPt>
            <c:idx val="1"/>
            <c:bubble3D val="0"/>
            <c:spPr>
              <a:solidFill>
                <a:schemeClr val="accent5">
                  <a:lumMod val="60000"/>
                  <a:lumOff val="40000"/>
                </a:schemeClr>
              </a:solidFill>
              <a:ln w="19050">
                <a:solidFill>
                  <a:schemeClr val="accent5">
                    <a:lumMod val="60000"/>
                    <a:lumOff val="40000"/>
                  </a:schemeClr>
                </a:solidFill>
              </a:ln>
              <a:effectLst/>
            </c:spPr>
            <c:extLst>
              <c:ext xmlns:c16="http://schemas.microsoft.com/office/drawing/2014/chart" uri="{C3380CC4-5D6E-409C-BE32-E72D297353CC}">
                <c16:uniqueId val="{00000003-6A47-4273-9569-0E9280344B5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Working!$B$93:$B$94</c:f>
              <c:strCache>
                <c:ptCount val="1"/>
                <c:pt idx="0">
                  <c:v>U</c:v>
                </c:pt>
              </c:strCache>
            </c:strRef>
          </c:cat>
          <c:val>
            <c:numRef>
              <c:f>Working!$C$93:$C$94</c:f>
              <c:numCache>
                <c:formatCode>General</c:formatCode>
                <c:ptCount val="1"/>
                <c:pt idx="0">
                  <c:v>116</c:v>
                </c:pt>
              </c:numCache>
            </c:numRef>
          </c:val>
          <c:extLst>
            <c:ext xmlns:c16="http://schemas.microsoft.com/office/drawing/2014/chart" uri="{C3380CC4-5D6E-409C-BE32-E72D297353CC}">
              <c16:uniqueId val="{00000004-6A47-4273-9569-0E9280344B5A}"/>
            </c:ext>
          </c:extLst>
        </c:ser>
        <c:dLbls>
          <c:showLegendKey val="0"/>
          <c:showVal val="1"/>
          <c:showCatName val="0"/>
          <c:showSerName val="0"/>
          <c:showPercent val="0"/>
          <c:showBubbleSize val="0"/>
          <c:showLeaderLines val="1"/>
        </c:dLbls>
        <c:firstSliceAng val="0"/>
        <c:holeSize val="6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w Cen MT" panose="020B06020201040206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pivotSource>
    <c:name>[CFA Level 1 Performance Tracker '25.xlsx]Working!PivotTable5</c:name>
    <c:fmtId val="6"/>
  </c:pivotSource>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US" sz="1800">
                <a:solidFill>
                  <a:sysClr val="windowText" lastClr="000000"/>
                </a:solidFill>
                <a:latin typeface="Tw Cen MT" panose="020B0602020104020603" pitchFamily="34" charset="0"/>
              </a:rPr>
              <a:t>Extra</a:t>
            </a:r>
            <a:r>
              <a:rPr lang="en-US" sz="1800" baseline="0">
                <a:solidFill>
                  <a:sysClr val="windowText" lastClr="000000"/>
                </a:solidFill>
                <a:latin typeface="Tw Cen MT" panose="020B0602020104020603" pitchFamily="34" charset="0"/>
              </a:rPr>
              <a:t> Practice</a:t>
            </a:r>
            <a:endParaRPr lang="en-US" sz="1800">
              <a:solidFill>
                <a:sysClr val="windowText" lastClr="000000"/>
              </a:solidFill>
              <a:latin typeface="Tw Cen MT" panose="020B0602020104020603" pitchFamily="34" charset="0"/>
            </a:endParaRP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ivotFmts>
      <c:pivotFmt>
        <c:idx val="0"/>
        <c:spPr>
          <a:solidFill>
            <a:schemeClr val="accent6"/>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6">
              <a:shade val="76000"/>
            </a:schemeClr>
          </a:solidFill>
          <a:ln w="19050">
            <a:solidFill>
              <a:schemeClr val="lt1"/>
            </a:solidFill>
          </a:ln>
          <a:effectLst/>
        </c:spPr>
      </c:pivotFmt>
      <c:pivotFmt>
        <c:idx val="2"/>
        <c:spPr>
          <a:solidFill>
            <a:schemeClr val="accent6">
              <a:tint val="77000"/>
            </a:schemeClr>
          </a:solidFill>
          <a:ln w="19050">
            <a:solidFill>
              <a:schemeClr val="lt1"/>
            </a:solidFill>
          </a:ln>
          <a:effectLst/>
        </c:spPr>
      </c:pivotFmt>
      <c:pivotFmt>
        <c:idx val="3"/>
        <c:spPr>
          <a:solidFill>
            <a:schemeClr val="accent6"/>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4"/>
        <c:spPr>
          <a:solidFill>
            <a:schemeClr val="accent6">
              <a:shade val="76000"/>
            </a:schemeClr>
          </a:solidFill>
          <a:ln w="19050">
            <a:solidFill>
              <a:schemeClr val="lt1"/>
            </a:solidFill>
          </a:ln>
          <a:effectLst/>
        </c:spPr>
      </c:pivotFmt>
      <c:pivotFmt>
        <c:idx val="5"/>
        <c:spPr>
          <a:solidFill>
            <a:schemeClr val="accent6"/>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6"/>
        <c:spPr>
          <a:solidFill>
            <a:schemeClr val="accent4">
              <a:lumMod val="20000"/>
              <a:lumOff val="80000"/>
            </a:schemeClr>
          </a:solidFill>
          <a:ln w="19050">
            <a:solidFill>
              <a:schemeClr val="accent4">
                <a:lumMod val="60000"/>
                <a:lumOff val="40000"/>
              </a:schemeClr>
            </a:solidFill>
          </a:ln>
          <a:effectLst/>
        </c:spPr>
      </c:pivotFmt>
      <c:pivotFmt>
        <c:idx val="7"/>
        <c:spPr>
          <a:solidFill>
            <a:schemeClr val="accent4">
              <a:lumMod val="60000"/>
              <a:lumOff val="40000"/>
            </a:schemeClr>
          </a:solidFill>
          <a:ln w="19050">
            <a:solidFill>
              <a:schemeClr val="accent4">
                <a:lumMod val="60000"/>
                <a:lumOff val="40000"/>
              </a:schemeClr>
            </a:solidFill>
          </a:ln>
          <a:effectLst/>
        </c:spPr>
      </c:pivotFmt>
      <c:pivotFmt>
        <c:idx val="8"/>
        <c:spPr>
          <a:solidFill>
            <a:schemeClr val="accent6"/>
          </a:solidFill>
          <a:ln w="19050">
            <a:solidFill>
              <a:schemeClr val="accent4">
                <a:lumMod val="60000"/>
                <a:lumOff val="40000"/>
              </a:schemeClr>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9"/>
        <c:spPr>
          <a:solidFill>
            <a:schemeClr val="accent4">
              <a:lumMod val="60000"/>
              <a:lumOff val="40000"/>
            </a:schemeClr>
          </a:solidFill>
          <a:ln w="19050">
            <a:solidFill>
              <a:schemeClr val="accent4">
                <a:lumMod val="60000"/>
                <a:lumOff val="40000"/>
              </a:schemeClr>
            </a:solidFill>
          </a:ln>
          <a:effectLst/>
        </c:spPr>
      </c:pivotFmt>
      <c:pivotFmt>
        <c:idx val="10"/>
        <c:spPr>
          <a:solidFill>
            <a:schemeClr val="accent4">
              <a:lumMod val="20000"/>
              <a:lumOff val="80000"/>
            </a:schemeClr>
          </a:solidFill>
          <a:ln w="19050">
            <a:solidFill>
              <a:schemeClr val="accent4">
                <a:lumMod val="60000"/>
                <a:lumOff val="40000"/>
              </a:schemeClr>
            </a:solidFill>
          </a:ln>
          <a:effectLst/>
        </c:spPr>
      </c:pivotFmt>
    </c:pivotFmts>
    <c:plotArea>
      <c:layout/>
      <c:doughnutChart>
        <c:varyColors val="1"/>
        <c:ser>
          <c:idx val="0"/>
          <c:order val="0"/>
          <c:tx>
            <c:strRef>
              <c:f>Working!$C$97</c:f>
              <c:strCache>
                <c:ptCount val="1"/>
                <c:pt idx="0">
                  <c:v>Total</c:v>
                </c:pt>
              </c:strCache>
            </c:strRef>
          </c:tx>
          <c:spPr>
            <a:ln>
              <a:solidFill>
                <a:schemeClr val="accent4">
                  <a:lumMod val="60000"/>
                  <a:lumOff val="40000"/>
                </a:schemeClr>
              </a:solidFill>
            </a:ln>
          </c:spPr>
          <c:dPt>
            <c:idx val="0"/>
            <c:bubble3D val="0"/>
            <c:spPr>
              <a:solidFill>
                <a:schemeClr val="accent4">
                  <a:lumMod val="20000"/>
                  <a:lumOff val="80000"/>
                </a:schemeClr>
              </a:solidFill>
              <a:ln w="19050">
                <a:solidFill>
                  <a:schemeClr val="accent4">
                    <a:lumMod val="60000"/>
                    <a:lumOff val="40000"/>
                  </a:schemeClr>
                </a:solidFill>
              </a:ln>
              <a:effectLst/>
            </c:spPr>
            <c:extLst>
              <c:ext xmlns:c16="http://schemas.microsoft.com/office/drawing/2014/chart" uri="{C3380CC4-5D6E-409C-BE32-E72D297353CC}">
                <c16:uniqueId val="{00000006-A9C5-4FDC-AE6A-F7AAF12577CF}"/>
              </c:ext>
            </c:extLst>
          </c:dPt>
          <c:dPt>
            <c:idx val="1"/>
            <c:bubble3D val="0"/>
            <c:spPr>
              <a:solidFill>
                <a:schemeClr val="accent6">
                  <a:tint val="30000"/>
                </a:schemeClr>
              </a:solidFill>
              <a:ln w="19050">
                <a:solidFill>
                  <a:schemeClr val="accent4">
                    <a:lumMod val="60000"/>
                    <a:lumOff val="40000"/>
                  </a:schemeClr>
                </a:solidFill>
              </a:ln>
              <a:effectLst/>
            </c:spPr>
            <c:extLst>
              <c:ext xmlns:c16="http://schemas.microsoft.com/office/drawing/2014/chart" uri="{C3380CC4-5D6E-409C-BE32-E72D297353CC}">
                <c16:uniqueId val="{00000007-A9C5-4FDC-AE6A-F7AAF12577C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Working!$B$98:$B$99</c:f>
              <c:strCache>
                <c:ptCount val="1"/>
                <c:pt idx="0">
                  <c:v>U</c:v>
                </c:pt>
              </c:strCache>
            </c:strRef>
          </c:cat>
          <c:val>
            <c:numRef>
              <c:f>Working!$C$98:$C$99</c:f>
              <c:numCache>
                <c:formatCode>General</c:formatCode>
                <c:ptCount val="1"/>
                <c:pt idx="0">
                  <c:v>116</c:v>
                </c:pt>
              </c:numCache>
            </c:numRef>
          </c:val>
          <c:extLst>
            <c:ext xmlns:c16="http://schemas.microsoft.com/office/drawing/2014/chart" uri="{C3380CC4-5D6E-409C-BE32-E72D297353CC}">
              <c16:uniqueId val="{00000004-A9C5-4FDC-AE6A-F7AAF12577CF}"/>
            </c:ext>
          </c:extLst>
        </c:ser>
        <c:dLbls>
          <c:showLegendKey val="0"/>
          <c:showVal val="1"/>
          <c:showCatName val="0"/>
          <c:showSerName val="0"/>
          <c:showPercent val="0"/>
          <c:showBubbleSize val="0"/>
          <c:showLeaderLines val="1"/>
        </c:dLbls>
        <c:firstSliceAng val="0"/>
        <c:holeSize val="6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w Cen MT" panose="020B06020201040206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 xmlns:c16="http://schemas.microsoft.com/office/drawing/2014/chart" uri="{E28EC0CA-F0BB-4C9C-879D-F8772B89E7AC}">
      <c16:pivotOptions16>
        <c16:showExpandCollapseFieldButtons val="1"/>
      </c16:pivotOptions16>
    </c:ext>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Lectures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D3D1-47E5-AE2C-07890A6A65C4}"/>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D3D1-47E5-AE2C-07890A6A65C4}"/>
              </c:ext>
            </c:extLst>
          </c:dPt>
          <c:dPt>
            <c:idx val="2"/>
            <c:bubble3D val="0"/>
            <c:spPr>
              <a:solidFill>
                <a:srgbClr val="FFA3A3"/>
              </a:solidFill>
              <a:ln w="19050">
                <a:noFill/>
              </a:ln>
              <a:effectLst/>
            </c:spPr>
            <c:extLst>
              <c:ext xmlns:c16="http://schemas.microsoft.com/office/drawing/2014/chart" uri="{C3380CC4-5D6E-409C-BE32-E72D297353CC}">
                <c16:uniqueId val="{00000005-D3D1-47E5-AE2C-07890A6A65C4}"/>
              </c:ext>
            </c:extLst>
          </c:dPt>
          <c:dPt>
            <c:idx val="3"/>
            <c:bubble3D val="0"/>
            <c:spPr>
              <a:solidFill>
                <a:srgbClr val="FF7979"/>
              </a:solidFill>
              <a:ln w="19050">
                <a:noFill/>
              </a:ln>
              <a:effectLst/>
            </c:spPr>
            <c:extLst>
              <c:ext xmlns:c16="http://schemas.microsoft.com/office/drawing/2014/chart" uri="{C3380CC4-5D6E-409C-BE32-E72D297353CC}">
                <c16:uniqueId val="{00000007-D3D1-47E5-AE2C-07890A6A65C4}"/>
              </c:ext>
            </c:extLst>
          </c:dPt>
          <c:dLbls>
            <c:dLbl>
              <c:idx val="0"/>
              <c:tx>
                <c:rich>
                  <a:bodyPr/>
                  <a:lstStyle/>
                  <a:p>
                    <a:fld id="{21C78B95-68C5-4DA8-A572-A4BF61DF2E7E}"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D3D1-47E5-AE2C-07890A6A65C4}"/>
                </c:ext>
              </c:extLst>
            </c:dLbl>
            <c:dLbl>
              <c:idx val="1"/>
              <c:tx>
                <c:rich>
                  <a:bodyPr/>
                  <a:lstStyle/>
                  <a:p>
                    <a:fld id="{BCDFCC37-D558-495B-9B91-1DFC5CE8B857}"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D3D1-47E5-AE2C-07890A6A65C4}"/>
                </c:ext>
              </c:extLst>
            </c:dLbl>
            <c:dLbl>
              <c:idx val="2"/>
              <c:tx>
                <c:rich>
                  <a:bodyPr/>
                  <a:lstStyle/>
                  <a:p>
                    <a:fld id="{A1973714-0D4E-4E20-8520-53820A6253C4}"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layout>
                    <c:manualLayout>
                      <c:w val="0.24059589611003399"/>
                      <c:h val="0.19403429589282872"/>
                    </c:manualLayout>
                  </c15:layout>
                  <c15:dlblFieldTable/>
                  <c15:showDataLabelsRange val="1"/>
                </c:ext>
                <c:ext xmlns:c16="http://schemas.microsoft.com/office/drawing/2014/chart" uri="{C3380CC4-5D6E-409C-BE32-E72D297353CC}">
                  <c16:uniqueId val="{00000005-D3D1-47E5-AE2C-07890A6A65C4}"/>
                </c:ext>
              </c:extLst>
            </c:dLbl>
            <c:dLbl>
              <c:idx val="3"/>
              <c:tx>
                <c:rich>
                  <a:bodyPr/>
                  <a:lstStyle/>
                  <a:p>
                    <a:fld id="{934C8BBB-10A8-4119-8DDA-757633FB28AF}"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D3D1-47E5-AE2C-07890A6A65C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Working!$B$54:$B$57</c:f>
              <c:strCache>
                <c:ptCount val="4"/>
                <c:pt idx="0">
                  <c:v>Done</c:v>
                </c:pt>
                <c:pt idx="1">
                  <c:v>Extra Done</c:v>
                </c:pt>
                <c:pt idx="2">
                  <c:v>Extra Undone</c:v>
                </c:pt>
                <c:pt idx="3">
                  <c:v>Undone</c:v>
                </c:pt>
              </c:strCache>
            </c:strRef>
          </c:cat>
          <c:val>
            <c:numRef>
              <c:f>Working!$C$54:$C$57</c:f>
              <c:numCache>
                <c:formatCode>0%</c:formatCode>
                <c:ptCount val="4"/>
                <c:pt idx="0">
                  <c:v>0</c:v>
                </c:pt>
                <c:pt idx="1">
                  <c:v>0</c:v>
                </c:pt>
                <c:pt idx="2">
                  <c:v>0.48619631901840493</c:v>
                </c:pt>
                <c:pt idx="3">
                  <c:v>0.51380368098159512</c:v>
                </c:pt>
              </c:numCache>
            </c:numRef>
          </c:val>
          <c:extLst>
            <c:ext xmlns:c15="http://schemas.microsoft.com/office/drawing/2012/chart" uri="{02D57815-91ED-43cb-92C2-25804820EDAC}">
              <c15:datalabelsRange>
                <c15:f>Working!$E$54:$E$57</c15:f>
                <c15:dlblRangeCache>
                  <c:ptCount val="4"/>
                  <c:pt idx="2">
                    <c:v>Extra Undone, 164</c:v>
                  </c:pt>
                  <c:pt idx="3">
                    <c:v>Undone, 173</c:v>
                  </c:pt>
                </c15:dlblRangeCache>
              </c15:datalabelsRange>
            </c:ext>
            <c:ext xmlns:c16="http://schemas.microsoft.com/office/drawing/2014/chart" uri="{C3380CC4-5D6E-409C-BE32-E72D297353CC}">
              <c16:uniqueId val="{00000008-D3D1-47E5-AE2C-07890A6A65C4}"/>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Self Study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D2E1-4A6A-B7D4-7A47C2198339}"/>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D2E1-4A6A-B7D4-7A47C2198339}"/>
              </c:ext>
            </c:extLst>
          </c:dPt>
          <c:dPt>
            <c:idx val="2"/>
            <c:bubble3D val="0"/>
            <c:spPr>
              <a:solidFill>
                <a:srgbClr val="FFA3A3"/>
              </a:solidFill>
              <a:ln w="19050">
                <a:noFill/>
              </a:ln>
              <a:effectLst/>
            </c:spPr>
            <c:extLst>
              <c:ext xmlns:c16="http://schemas.microsoft.com/office/drawing/2014/chart" uri="{C3380CC4-5D6E-409C-BE32-E72D297353CC}">
                <c16:uniqueId val="{00000005-D2E1-4A6A-B7D4-7A47C2198339}"/>
              </c:ext>
            </c:extLst>
          </c:dPt>
          <c:dPt>
            <c:idx val="3"/>
            <c:bubble3D val="0"/>
            <c:spPr>
              <a:solidFill>
                <a:srgbClr val="FF7979"/>
              </a:solidFill>
              <a:ln w="19050">
                <a:noFill/>
              </a:ln>
              <a:effectLst/>
            </c:spPr>
            <c:extLst>
              <c:ext xmlns:c16="http://schemas.microsoft.com/office/drawing/2014/chart" uri="{C3380CC4-5D6E-409C-BE32-E72D297353CC}">
                <c16:uniqueId val="{00000007-D2E1-4A6A-B7D4-7A47C2198339}"/>
              </c:ext>
            </c:extLst>
          </c:dPt>
          <c:dLbls>
            <c:dLbl>
              <c:idx val="0"/>
              <c:tx>
                <c:rich>
                  <a:bodyPr/>
                  <a:lstStyle/>
                  <a:p>
                    <a:fld id="{40A8836C-B8E4-4EE4-9493-4E4D41F48A99}"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D2E1-4A6A-B7D4-7A47C2198339}"/>
                </c:ext>
              </c:extLst>
            </c:dLbl>
            <c:dLbl>
              <c:idx val="1"/>
              <c:tx>
                <c:rich>
                  <a:bodyPr/>
                  <a:lstStyle/>
                  <a:p>
                    <a:fld id="{8B48F6C9-09A4-424E-BBEF-5F0A38FD61EC}"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D2E1-4A6A-B7D4-7A47C2198339}"/>
                </c:ext>
              </c:extLst>
            </c:dLbl>
            <c:dLbl>
              <c:idx val="2"/>
              <c:tx>
                <c:rich>
                  <a:bodyPr/>
                  <a:lstStyle/>
                  <a:p>
                    <a:fld id="{4BD0A9BC-80DB-4CBD-9420-B00D1A7B5C19}"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layout>
                    <c:manualLayout>
                      <c:w val="0.246927367060298"/>
                      <c:h val="0.19403429589282872"/>
                    </c:manualLayout>
                  </c15:layout>
                  <c15:dlblFieldTable/>
                  <c15:showDataLabelsRange val="1"/>
                </c:ext>
                <c:ext xmlns:c16="http://schemas.microsoft.com/office/drawing/2014/chart" uri="{C3380CC4-5D6E-409C-BE32-E72D297353CC}">
                  <c16:uniqueId val="{00000005-D2E1-4A6A-B7D4-7A47C2198339}"/>
                </c:ext>
              </c:extLst>
            </c:dLbl>
            <c:dLbl>
              <c:idx val="3"/>
              <c:tx>
                <c:rich>
                  <a:bodyPr/>
                  <a:lstStyle/>
                  <a:p>
                    <a:fld id="{9E3B8CCE-A405-48E1-A1A5-89AD3D9ADDF4}"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D2E1-4A6A-B7D4-7A47C2198339}"/>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Working!$B$61:$B$64</c:f>
              <c:strCache>
                <c:ptCount val="4"/>
                <c:pt idx="0">
                  <c:v>Done</c:v>
                </c:pt>
                <c:pt idx="1">
                  <c:v>Extra Done</c:v>
                </c:pt>
                <c:pt idx="2">
                  <c:v>Extra Undone</c:v>
                </c:pt>
                <c:pt idx="3">
                  <c:v>Undone</c:v>
                </c:pt>
              </c:strCache>
            </c:strRef>
          </c:cat>
          <c:val>
            <c:numRef>
              <c:f>Working!$C$61:$C$64</c:f>
              <c:numCache>
                <c:formatCode>0%</c:formatCode>
                <c:ptCount val="4"/>
                <c:pt idx="0">
                  <c:v>0</c:v>
                </c:pt>
                <c:pt idx="1">
                  <c:v>0</c:v>
                </c:pt>
                <c:pt idx="2">
                  <c:v>0.48619631901840488</c:v>
                </c:pt>
                <c:pt idx="3">
                  <c:v>0.51380368098159512</c:v>
                </c:pt>
              </c:numCache>
            </c:numRef>
          </c:val>
          <c:extLst>
            <c:ext xmlns:c15="http://schemas.microsoft.com/office/drawing/2012/chart" uri="{02D57815-91ED-43cb-92C2-25804820EDAC}">
              <c15:datalabelsRange>
                <c15:f>Working!$E$61:$E$64</c15:f>
                <c15:dlblRangeCache>
                  <c:ptCount val="4"/>
                  <c:pt idx="2">
                    <c:v>Extra Undone, 279</c:v>
                  </c:pt>
                  <c:pt idx="3">
                    <c:v>Undone, 295</c:v>
                  </c:pt>
                </c15:dlblRangeCache>
              </c15:datalabelsRange>
            </c:ext>
            <c:ext xmlns:c16="http://schemas.microsoft.com/office/drawing/2014/chart" uri="{C3380CC4-5D6E-409C-BE32-E72D297353CC}">
              <c16:uniqueId val="{00000008-D2E1-4A6A-B7D4-7A47C2198339}"/>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8D5A-46E4-8088-DF90E9BEF7F8}"/>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8D5A-46E4-8088-DF90E9BEF7F8}"/>
              </c:ext>
            </c:extLst>
          </c:dPt>
          <c:dPt>
            <c:idx val="2"/>
            <c:bubble3D val="0"/>
            <c:spPr>
              <a:solidFill>
                <a:srgbClr val="FFA3A3"/>
              </a:solidFill>
              <a:ln w="19050">
                <a:noFill/>
              </a:ln>
              <a:effectLst/>
            </c:spPr>
            <c:extLst>
              <c:ext xmlns:c16="http://schemas.microsoft.com/office/drawing/2014/chart" uri="{C3380CC4-5D6E-409C-BE32-E72D297353CC}">
                <c16:uniqueId val="{00000005-8D5A-46E4-8088-DF90E9BEF7F8}"/>
              </c:ext>
            </c:extLst>
          </c:dPt>
          <c:dPt>
            <c:idx val="3"/>
            <c:bubble3D val="0"/>
            <c:spPr>
              <a:solidFill>
                <a:srgbClr val="FF7979"/>
              </a:solidFill>
              <a:ln w="19050">
                <a:noFill/>
              </a:ln>
              <a:effectLst/>
            </c:spPr>
            <c:extLst>
              <c:ext xmlns:c16="http://schemas.microsoft.com/office/drawing/2014/chart" uri="{C3380CC4-5D6E-409C-BE32-E72D297353CC}">
                <c16:uniqueId val="{00000007-8D5A-46E4-8088-DF90E9BEF7F8}"/>
              </c:ext>
            </c:extLst>
          </c:dPt>
          <c:dLbls>
            <c:dLbl>
              <c:idx val="0"/>
              <c:tx>
                <c:rich>
                  <a:bodyPr/>
                  <a:lstStyle/>
                  <a:p>
                    <a:fld id="{08B59581-6D39-43AA-8CB8-421FC2CEFBCE}"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8D5A-46E4-8088-DF90E9BEF7F8}"/>
                </c:ext>
              </c:extLst>
            </c:dLbl>
            <c:dLbl>
              <c:idx val="1"/>
              <c:tx>
                <c:rich>
                  <a:bodyPr/>
                  <a:lstStyle/>
                  <a:p>
                    <a:fld id="{F9CA61DD-669A-4492-9D2C-97C71E31401E}"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8D5A-46E4-8088-DF90E9BEF7F8}"/>
                </c:ext>
              </c:extLst>
            </c:dLbl>
            <c:dLbl>
              <c:idx val="2"/>
              <c:layout>
                <c:manualLayout>
                  <c:x val="-3.7988844640581713E-2"/>
                  <c:y val="-0.13590060229060288"/>
                </c:manualLayout>
              </c:layout>
              <c:tx>
                <c:rich>
                  <a:bodyPr/>
                  <a:lstStyle/>
                  <a:p>
                    <a:fld id="{01CE3786-A11C-4FB7-8E71-D840A74FB9EA}"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layout>
                    <c:manualLayout>
                      <c:w val="0.259590438377308"/>
                      <c:h val="0.19791498181068526"/>
                    </c:manualLayout>
                  </c15:layout>
                  <c15:dlblFieldTable/>
                  <c15:showDataLabelsRange val="1"/>
                </c:ext>
                <c:ext xmlns:c16="http://schemas.microsoft.com/office/drawing/2014/chart" uri="{C3380CC4-5D6E-409C-BE32-E72D297353CC}">
                  <c16:uniqueId val="{00000005-8D5A-46E4-8088-DF90E9BEF7F8}"/>
                </c:ext>
              </c:extLst>
            </c:dLbl>
            <c:dLbl>
              <c:idx val="3"/>
              <c:tx>
                <c:rich>
                  <a:bodyPr/>
                  <a:lstStyle/>
                  <a:p>
                    <a:fld id="{9045B831-29F0-4821-8E91-241C5FE3425F}"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layout>
                    <c:manualLayout>
                      <c:w val="0.22793306784348996"/>
                      <c:h val="0.15134675079640639"/>
                    </c:manualLayout>
                  </c15:layout>
                  <c15:dlblFieldTable/>
                  <c15:showDataLabelsRange val="1"/>
                </c:ext>
                <c:ext xmlns:c16="http://schemas.microsoft.com/office/drawing/2014/chart" uri="{C3380CC4-5D6E-409C-BE32-E72D297353CC}">
                  <c16:uniqueId val="{00000007-8D5A-46E4-8088-DF90E9BEF7F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Working!$B$68:$B$71</c:f>
              <c:strCache>
                <c:ptCount val="4"/>
                <c:pt idx="0">
                  <c:v>Done</c:v>
                </c:pt>
                <c:pt idx="1">
                  <c:v>Extra Done</c:v>
                </c:pt>
                <c:pt idx="2">
                  <c:v>Extra Undone</c:v>
                </c:pt>
                <c:pt idx="3">
                  <c:v>Undone</c:v>
                </c:pt>
              </c:strCache>
            </c:strRef>
          </c:cat>
          <c:val>
            <c:numRef>
              <c:f>Working!$C$68:$C$71</c:f>
              <c:numCache>
                <c:formatCode>0%</c:formatCode>
                <c:ptCount val="4"/>
                <c:pt idx="0">
                  <c:v>0</c:v>
                </c:pt>
                <c:pt idx="1">
                  <c:v>0</c:v>
                </c:pt>
                <c:pt idx="2">
                  <c:v>0.48619631901840493</c:v>
                </c:pt>
                <c:pt idx="3">
                  <c:v>0.51380368098159501</c:v>
                </c:pt>
              </c:numCache>
            </c:numRef>
          </c:val>
          <c:extLst>
            <c:ext xmlns:c15="http://schemas.microsoft.com/office/drawing/2012/chart" uri="{02D57815-91ED-43cb-92C2-25804820EDAC}">
              <c15:datalabelsRange>
                <c15:f>Working!$E$68:$E$71</c15:f>
                <c15:dlblRangeCache>
                  <c:ptCount val="4"/>
                  <c:pt idx="2">
                    <c:v>Extra Undone, 443</c:v>
                  </c:pt>
                  <c:pt idx="3">
                    <c:v>Undone, 468</c:v>
                  </c:pt>
                </c15:dlblRangeCache>
              </c15:datalabelsRange>
            </c:ext>
            <c:ext xmlns:c16="http://schemas.microsoft.com/office/drawing/2014/chart" uri="{C3380CC4-5D6E-409C-BE32-E72D297353CC}">
              <c16:uniqueId val="{00000008-8D5A-46E4-8088-DF90E9BEF7F8}"/>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Chapter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F656-4F67-B7A1-F8A1F7DE107E}"/>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F656-4F67-B7A1-F8A1F7DE107E}"/>
              </c:ext>
            </c:extLst>
          </c:dPt>
          <c:dPt>
            <c:idx val="2"/>
            <c:bubble3D val="0"/>
            <c:spPr>
              <a:solidFill>
                <a:srgbClr val="FFA3A3"/>
              </a:solidFill>
              <a:ln w="19050">
                <a:noFill/>
              </a:ln>
              <a:effectLst/>
            </c:spPr>
            <c:extLst>
              <c:ext xmlns:c16="http://schemas.microsoft.com/office/drawing/2014/chart" uri="{C3380CC4-5D6E-409C-BE32-E72D297353CC}">
                <c16:uniqueId val="{00000005-F656-4F67-B7A1-F8A1F7DE107E}"/>
              </c:ext>
            </c:extLst>
          </c:dPt>
          <c:dPt>
            <c:idx val="3"/>
            <c:bubble3D val="0"/>
            <c:spPr>
              <a:solidFill>
                <a:srgbClr val="FF7979"/>
              </a:solidFill>
              <a:ln w="19050">
                <a:noFill/>
              </a:ln>
              <a:effectLst/>
            </c:spPr>
            <c:extLst>
              <c:ext xmlns:c16="http://schemas.microsoft.com/office/drawing/2014/chart" uri="{C3380CC4-5D6E-409C-BE32-E72D297353CC}">
                <c16:uniqueId val="{00000007-F656-4F67-B7A1-F8A1F7DE107E}"/>
              </c:ext>
            </c:extLst>
          </c:dPt>
          <c:dLbls>
            <c:dLbl>
              <c:idx val="0"/>
              <c:tx>
                <c:rich>
                  <a:bodyPr/>
                  <a:lstStyle/>
                  <a:p>
                    <a:fld id="{C09358BF-B64F-4C8D-A184-1A0D2DED7930}"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F656-4F67-B7A1-F8A1F7DE107E}"/>
                </c:ext>
              </c:extLst>
            </c:dLbl>
            <c:dLbl>
              <c:idx val="1"/>
              <c:tx>
                <c:rich>
                  <a:bodyPr/>
                  <a:lstStyle/>
                  <a:p>
                    <a:fld id="{AFD7EA9D-7ECC-49C4-87DA-970D8307DB8C}"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656-4F67-B7A1-F8A1F7DE107E}"/>
                </c:ext>
              </c:extLst>
            </c:dLbl>
            <c:dLbl>
              <c:idx val="2"/>
              <c:tx>
                <c:rich>
                  <a:bodyPr/>
                  <a:lstStyle/>
                  <a:p>
                    <a:fld id="{39F98AD0-00F8-45C1-8D6B-DF6541200A11}"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F656-4F67-B7A1-F8A1F7DE107E}"/>
                </c:ext>
              </c:extLst>
            </c:dLbl>
            <c:dLbl>
              <c:idx val="3"/>
              <c:tx>
                <c:rich>
                  <a:bodyPr/>
                  <a:lstStyle/>
                  <a:p>
                    <a:fld id="{1A47E644-E620-496B-90EA-95F17078FD6C}"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F656-4F67-B7A1-F8A1F7DE107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dLblPos val="bestFit"/>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Working!$B$47:$B$50</c:f>
              <c:strCache>
                <c:ptCount val="4"/>
                <c:pt idx="0">
                  <c:v>Done</c:v>
                </c:pt>
                <c:pt idx="1">
                  <c:v>Extra Done</c:v>
                </c:pt>
                <c:pt idx="2">
                  <c:v>Extra Undone</c:v>
                </c:pt>
                <c:pt idx="3">
                  <c:v>Undone</c:v>
                </c:pt>
              </c:strCache>
            </c:strRef>
          </c:cat>
          <c:val>
            <c:numRef>
              <c:f>Working!$C$47:$C$50</c:f>
              <c:numCache>
                <c:formatCode>0%</c:formatCode>
                <c:ptCount val="4"/>
                <c:pt idx="0">
                  <c:v>0</c:v>
                </c:pt>
                <c:pt idx="1">
                  <c:v>0</c:v>
                </c:pt>
                <c:pt idx="2">
                  <c:v>0.48619631901840493</c:v>
                </c:pt>
                <c:pt idx="3">
                  <c:v>0.51380368098159501</c:v>
                </c:pt>
              </c:numCache>
            </c:numRef>
          </c:val>
          <c:extLst>
            <c:ext xmlns:c15="http://schemas.microsoft.com/office/drawing/2012/chart" uri="{02D57815-91ED-43cb-92C2-25804820EDAC}">
              <c15:datalabelsRange>
                <c15:f>Working!$E$47:$E$50</c15:f>
                <c15:dlblRangeCache>
                  <c:ptCount val="4"/>
                  <c:pt idx="2">
                    <c:v>Extra Undone, 56</c:v>
                  </c:pt>
                  <c:pt idx="3">
                    <c:v>Undone, 59</c:v>
                  </c:pt>
                </c15:dlblRangeCache>
              </c15:datalabelsRange>
            </c:ext>
            <c:ext xmlns:c16="http://schemas.microsoft.com/office/drawing/2014/chart" uri="{C3380CC4-5D6E-409C-BE32-E72D297353CC}">
              <c16:uniqueId val="{00000008-F656-4F67-B7A1-F8A1F7DE107E}"/>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Lectures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F656-4F67-B7A1-F8A1F7DE107E}"/>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F656-4F67-B7A1-F8A1F7DE107E}"/>
              </c:ext>
            </c:extLst>
          </c:dPt>
          <c:dPt>
            <c:idx val="2"/>
            <c:bubble3D val="0"/>
            <c:spPr>
              <a:solidFill>
                <a:srgbClr val="FFA3A3"/>
              </a:solidFill>
              <a:ln w="19050">
                <a:noFill/>
              </a:ln>
              <a:effectLst/>
            </c:spPr>
            <c:extLst>
              <c:ext xmlns:c16="http://schemas.microsoft.com/office/drawing/2014/chart" uri="{C3380CC4-5D6E-409C-BE32-E72D297353CC}">
                <c16:uniqueId val="{00000005-F656-4F67-B7A1-F8A1F7DE107E}"/>
              </c:ext>
            </c:extLst>
          </c:dPt>
          <c:dPt>
            <c:idx val="3"/>
            <c:bubble3D val="0"/>
            <c:spPr>
              <a:solidFill>
                <a:srgbClr val="FF7979"/>
              </a:solidFill>
              <a:ln w="19050">
                <a:noFill/>
              </a:ln>
              <a:effectLst/>
            </c:spPr>
            <c:extLst>
              <c:ext xmlns:c16="http://schemas.microsoft.com/office/drawing/2014/chart" uri="{C3380CC4-5D6E-409C-BE32-E72D297353CC}">
                <c16:uniqueId val="{00000007-F656-4F67-B7A1-F8A1F7DE107E}"/>
              </c:ext>
            </c:extLst>
          </c:dPt>
          <c:dLbls>
            <c:dLbl>
              <c:idx val="0"/>
              <c:tx>
                <c:rich>
                  <a:bodyPr/>
                  <a:lstStyle/>
                  <a:p>
                    <a:fld id="{A1F1E5B5-DA97-4E36-A56A-14F22346D302}"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F656-4F67-B7A1-F8A1F7DE107E}"/>
                </c:ext>
              </c:extLst>
            </c:dLbl>
            <c:dLbl>
              <c:idx val="1"/>
              <c:tx>
                <c:rich>
                  <a:bodyPr/>
                  <a:lstStyle/>
                  <a:p>
                    <a:fld id="{22D28A7F-DCA5-48C3-9837-5D1E5F56D824}"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656-4F67-B7A1-F8A1F7DE107E}"/>
                </c:ext>
              </c:extLst>
            </c:dLbl>
            <c:dLbl>
              <c:idx val="2"/>
              <c:tx>
                <c:rich>
                  <a:bodyPr/>
                  <a:lstStyle/>
                  <a:p>
                    <a:fld id="{DED874B4-FAD0-43E8-AEC7-A106EAD04572}"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F656-4F67-B7A1-F8A1F7DE107E}"/>
                </c:ext>
              </c:extLst>
            </c:dLbl>
            <c:dLbl>
              <c:idx val="3"/>
              <c:tx>
                <c:rich>
                  <a:bodyPr/>
                  <a:lstStyle/>
                  <a:p>
                    <a:fld id="{CD27DA4E-EDB7-4EDC-AACF-9F18B4D6ACD7}"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F656-4F67-B7A1-F8A1F7DE107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Working!$B$54:$B$57</c:f>
              <c:strCache>
                <c:ptCount val="4"/>
                <c:pt idx="0">
                  <c:v>Done</c:v>
                </c:pt>
                <c:pt idx="1">
                  <c:v>Extra Done</c:v>
                </c:pt>
                <c:pt idx="2">
                  <c:v>Extra Undone</c:v>
                </c:pt>
                <c:pt idx="3">
                  <c:v>Undone</c:v>
                </c:pt>
              </c:strCache>
            </c:strRef>
          </c:cat>
          <c:val>
            <c:numRef>
              <c:f>Working!$C$54:$C$57</c:f>
              <c:numCache>
                <c:formatCode>0%</c:formatCode>
                <c:ptCount val="4"/>
                <c:pt idx="0">
                  <c:v>0</c:v>
                </c:pt>
                <c:pt idx="1">
                  <c:v>0</c:v>
                </c:pt>
                <c:pt idx="2">
                  <c:v>0.48619631901840493</c:v>
                </c:pt>
                <c:pt idx="3">
                  <c:v>0.51380368098159512</c:v>
                </c:pt>
              </c:numCache>
            </c:numRef>
          </c:val>
          <c:extLst>
            <c:ext xmlns:c15="http://schemas.microsoft.com/office/drawing/2012/chart" uri="{02D57815-91ED-43cb-92C2-25804820EDAC}">
              <c15:datalabelsRange>
                <c15:f>Working!$E$54:$E$57</c15:f>
                <c15:dlblRangeCache>
                  <c:ptCount val="4"/>
                  <c:pt idx="2">
                    <c:v>Extra Undone, 164</c:v>
                  </c:pt>
                  <c:pt idx="3">
                    <c:v>Undone, 173</c:v>
                  </c:pt>
                </c15:dlblRangeCache>
              </c15:datalabelsRange>
            </c:ext>
            <c:ext xmlns:c16="http://schemas.microsoft.com/office/drawing/2014/chart" uri="{C3380CC4-5D6E-409C-BE32-E72D297353CC}">
              <c16:uniqueId val="{00000008-F656-4F67-B7A1-F8A1F7DE107E}"/>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Self Study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F656-4F67-B7A1-F8A1F7DE107E}"/>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F656-4F67-B7A1-F8A1F7DE107E}"/>
              </c:ext>
            </c:extLst>
          </c:dPt>
          <c:dPt>
            <c:idx val="2"/>
            <c:bubble3D val="0"/>
            <c:spPr>
              <a:solidFill>
                <a:srgbClr val="FFA3A3"/>
              </a:solidFill>
              <a:ln w="19050">
                <a:noFill/>
              </a:ln>
              <a:effectLst/>
            </c:spPr>
            <c:extLst>
              <c:ext xmlns:c16="http://schemas.microsoft.com/office/drawing/2014/chart" uri="{C3380CC4-5D6E-409C-BE32-E72D297353CC}">
                <c16:uniqueId val="{00000005-F656-4F67-B7A1-F8A1F7DE107E}"/>
              </c:ext>
            </c:extLst>
          </c:dPt>
          <c:dPt>
            <c:idx val="3"/>
            <c:bubble3D val="0"/>
            <c:spPr>
              <a:solidFill>
                <a:srgbClr val="FF7979"/>
              </a:solidFill>
              <a:ln w="19050">
                <a:noFill/>
              </a:ln>
              <a:effectLst/>
            </c:spPr>
            <c:extLst>
              <c:ext xmlns:c16="http://schemas.microsoft.com/office/drawing/2014/chart" uri="{C3380CC4-5D6E-409C-BE32-E72D297353CC}">
                <c16:uniqueId val="{00000007-F656-4F67-B7A1-F8A1F7DE107E}"/>
              </c:ext>
            </c:extLst>
          </c:dPt>
          <c:dLbls>
            <c:dLbl>
              <c:idx val="0"/>
              <c:tx>
                <c:rich>
                  <a:bodyPr/>
                  <a:lstStyle/>
                  <a:p>
                    <a:fld id="{4B63A274-7ACF-4610-B6D4-66A736DC9603}"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F656-4F67-B7A1-F8A1F7DE107E}"/>
                </c:ext>
              </c:extLst>
            </c:dLbl>
            <c:dLbl>
              <c:idx val="1"/>
              <c:tx>
                <c:rich>
                  <a:bodyPr/>
                  <a:lstStyle/>
                  <a:p>
                    <a:fld id="{9F41EE6E-1ACD-43FE-B3C1-FF9A2AA915C2}"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656-4F67-B7A1-F8A1F7DE107E}"/>
                </c:ext>
              </c:extLst>
            </c:dLbl>
            <c:dLbl>
              <c:idx val="2"/>
              <c:tx>
                <c:rich>
                  <a:bodyPr/>
                  <a:lstStyle/>
                  <a:p>
                    <a:fld id="{420E11DF-68D4-4F26-9D63-BF7041E78B1D}"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F656-4F67-B7A1-F8A1F7DE107E}"/>
                </c:ext>
              </c:extLst>
            </c:dLbl>
            <c:dLbl>
              <c:idx val="3"/>
              <c:tx>
                <c:rich>
                  <a:bodyPr/>
                  <a:lstStyle/>
                  <a:p>
                    <a:fld id="{758459F6-6210-438C-93AD-5831B2220389}"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F656-4F67-B7A1-F8A1F7DE107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Working!$B$61:$B$64</c:f>
              <c:strCache>
                <c:ptCount val="4"/>
                <c:pt idx="0">
                  <c:v>Done</c:v>
                </c:pt>
                <c:pt idx="1">
                  <c:v>Extra Done</c:v>
                </c:pt>
                <c:pt idx="2">
                  <c:v>Extra Undone</c:v>
                </c:pt>
                <c:pt idx="3">
                  <c:v>Undone</c:v>
                </c:pt>
              </c:strCache>
            </c:strRef>
          </c:cat>
          <c:val>
            <c:numRef>
              <c:f>Working!$C$61:$C$64</c:f>
              <c:numCache>
                <c:formatCode>0%</c:formatCode>
                <c:ptCount val="4"/>
                <c:pt idx="0">
                  <c:v>0</c:v>
                </c:pt>
                <c:pt idx="1">
                  <c:v>0</c:v>
                </c:pt>
                <c:pt idx="2">
                  <c:v>0.48619631901840488</c:v>
                </c:pt>
                <c:pt idx="3">
                  <c:v>0.51380368098159512</c:v>
                </c:pt>
              </c:numCache>
            </c:numRef>
          </c:val>
          <c:extLst>
            <c:ext xmlns:c15="http://schemas.microsoft.com/office/drawing/2012/chart" uri="{02D57815-91ED-43cb-92C2-25804820EDAC}">
              <c15:datalabelsRange>
                <c15:f>Working!$E$61:$E$64</c15:f>
                <c15:dlblRangeCache>
                  <c:ptCount val="4"/>
                  <c:pt idx="2">
                    <c:v>Extra Undone, 279</c:v>
                  </c:pt>
                  <c:pt idx="3">
                    <c:v>Undone, 295</c:v>
                  </c:pt>
                </c15:dlblRangeCache>
              </c15:datalabelsRange>
            </c:ext>
            <c:ext xmlns:c16="http://schemas.microsoft.com/office/drawing/2014/chart" uri="{C3380CC4-5D6E-409C-BE32-E72D297353CC}">
              <c16:uniqueId val="{00000008-F656-4F67-B7A1-F8A1F7DE107E}"/>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F656-4F67-B7A1-F8A1F7DE107E}"/>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F656-4F67-B7A1-F8A1F7DE107E}"/>
              </c:ext>
            </c:extLst>
          </c:dPt>
          <c:dPt>
            <c:idx val="2"/>
            <c:bubble3D val="0"/>
            <c:spPr>
              <a:solidFill>
                <a:srgbClr val="FFA3A3"/>
              </a:solidFill>
              <a:ln w="19050">
                <a:noFill/>
              </a:ln>
              <a:effectLst/>
            </c:spPr>
            <c:extLst>
              <c:ext xmlns:c16="http://schemas.microsoft.com/office/drawing/2014/chart" uri="{C3380CC4-5D6E-409C-BE32-E72D297353CC}">
                <c16:uniqueId val="{00000005-F656-4F67-B7A1-F8A1F7DE107E}"/>
              </c:ext>
            </c:extLst>
          </c:dPt>
          <c:dPt>
            <c:idx val="3"/>
            <c:bubble3D val="0"/>
            <c:spPr>
              <a:solidFill>
                <a:srgbClr val="FF7979"/>
              </a:solidFill>
              <a:ln w="19050">
                <a:noFill/>
              </a:ln>
              <a:effectLst/>
            </c:spPr>
            <c:extLst>
              <c:ext xmlns:c16="http://schemas.microsoft.com/office/drawing/2014/chart" uri="{C3380CC4-5D6E-409C-BE32-E72D297353CC}">
                <c16:uniqueId val="{00000007-F656-4F67-B7A1-F8A1F7DE107E}"/>
              </c:ext>
            </c:extLst>
          </c:dPt>
          <c:dLbls>
            <c:dLbl>
              <c:idx val="0"/>
              <c:tx>
                <c:rich>
                  <a:bodyPr/>
                  <a:lstStyle/>
                  <a:p>
                    <a:fld id="{B7EF72D5-93CA-4086-9A0F-3BF2CE9E9A48}"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F656-4F67-B7A1-F8A1F7DE107E}"/>
                </c:ext>
              </c:extLst>
            </c:dLbl>
            <c:dLbl>
              <c:idx val="1"/>
              <c:tx>
                <c:rich>
                  <a:bodyPr/>
                  <a:lstStyle/>
                  <a:p>
                    <a:fld id="{A29F09BD-CA4B-4718-93F5-94A9D592BA7A}"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656-4F67-B7A1-F8A1F7DE107E}"/>
                </c:ext>
              </c:extLst>
            </c:dLbl>
            <c:dLbl>
              <c:idx val="2"/>
              <c:tx>
                <c:rich>
                  <a:bodyPr/>
                  <a:lstStyle/>
                  <a:p>
                    <a:fld id="{07A23650-C509-41AA-AE57-8D53B2DA7B30}"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F656-4F67-B7A1-F8A1F7DE107E}"/>
                </c:ext>
              </c:extLst>
            </c:dLbl>
            <c:dLbl>
              <c:idx val="3"/>
              <c:tx>
                <c:rich>
                  <a:bodyPr/>
                  <a:lstStyle/>
                  <a:p>
                    <a:fld id="{0CA1286A-7378-4B31-BFE3-BF4069006D1A}"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F656-4F67-B7A1-F8A1F7DE107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Working!$B$68:$B$71</c:f>
              <c:strCache>
                <c:ptCount val="4"/>
                <c:pt idx="0">
                  <c:v>Done</c:v>
                </c:pt>
                <c:pt idx="1">
                  <c:v>Extra Done</c:v>
                </c:pt>
                <c:pt idx="2">
                  <c:v>Extra Undone</c:v>
                </c:pt>
                <c:pt idx="3">
                  <c:v>Undone</c:v>
                </c:pt>
              </c:strCache>
            </c:strRef>
          </c:cat>
          <c:val>
            <c:numRef>
              <c:f>Working!$C$68:$C$71</c:f>
              <c:numCache>
                <c:formatCode>0%</c:formatCode>
                <c:ptCount val="4"/>
                <c:pt idx="0">
                  <c:v>0</c:v>
                </c:pt>
                <c:pt idx="1">
                  <c:v>0</c:v>
                </c:pt>
                <c:pt idx="2">
                  <c:v>0.48619631901840493</c:v>
                </c:pt>
                <c:pt idx="3">
                  <c:v>0.51380368098159501</c:v>
                </c:pt>
              </c:numCache>
            </c:numRef>
          </c:val>
          <c:extLst>
            <c:ext xmlns:c15="http://schemas.microsoft.com/office/drawing/2012/chart" uri="{02D57815-91ED-43cb-92C2-25804820EDAC}">
              <c15:datalabelsRange>
                <c15:f>Working!$E$68:$E$71</c15:f>
                <c15:dlblRangeCache>
                  <c:ptCount val="4"/>
                  <c:pt idx="2">
                    <c:v>Extra Undone, 443</c:v>
                  </c:pt>
                  <c:pt idx="3">
                    <c:v>Undone, 468</c:v>
                  </c:pt>
                </c15:dlblRangeCache>
              </c15:datalabelsRange>
            </c:ext>
            <c:ext xmlns:c16="http://schemas.microsoft.com/office/drawing/2014/chart" uri="{C3380CC4-5D6E-409C-BE32-E72D297353CC}">
              <c16:uniqueId val="{00000008-F656-4F67-B7A1-F8A1F7DE107E}"/>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677346128796298E-2"/>
          <c:y val="3.9146025784766225E-2"/>
          <c:w val="0.94140204133847638"/>
          <c:h val="0.90166860491785139"/>
        </c:manualLayout>
      </c:layout>
      <c:lineChart>
        <c:grouping val="standard"/>
        <c:varyColors val="0"/>
        <c:ser>
          <c:idx val="1"/>
          <c:order val="0"/>
          <c:tx>
            <c:v>average</c:v>
          </c:tx>
          <c:spPr>
            <a:ln w="25400" cap="rnd">
              <a:solidFill>
                <a:srgbClr val="FF4747"/>
              </a:solidFill>
              <a:round/>
            </a:ln>
            <a:effectLst/>
          </c:spPr>
          <c:marker>
            <c:symbol val="none"/>
          </c:marker>
          <c:dLbls>
            <c:delete val="1"/>
          </c:dLbls>
          <c:val>
            <c:numRef>
              <c:f>'📊 Progress'!$B$33:$B$42</c:f>
              <c:numCache>
                <c:formatCode>0.0;\-0.0;;@</c:formatCode>
                <c:ptCount val="10"/>
                <c:pt idx="0">
                  <c:v>2.5</c:v>
                </c:pt>
                <c:pt idx="1">
                  <c:v>2.5</c:v>
                </c:pt>
                <c:pt idx="2">
                  <c:v>2.5</c:v>
                </c:pt>
                <c:pt idx="3">
                  <c:v>2.5</c:v>
                </c:pt>
                <c:pt idx="4">
                  <c:v>2.5</c:v>
                </c:pt>
                <c:pt idx="5">
                  <c:v>2.5</c:v>
                </c:pt>
                <c:pt idx="6">
                  <c:v>2.5</c:v>
                </c:pt>
                <c:pt idx="7">
                  <c:v>2.5</c:v>
                </c:pt>
                <c:pt idx="8">
                  <c:v>2.5</c:v>
                </c:pt>
                <c:pt idx="9">
                  <c:v>2.5</c:v>
                </c:pt>
              </c:numCache>
            </c:numRef>
          </c:val>
          <c:smooth val="0"/>
          <c:extLst>
            <c:ext xmlns:c16="http://schemas.microsoft.com/office/drawing/2014/chart" uri="{C3380CC4-5D6E-409C-BE32-E72D297353CC}">
              <c16:uniqueId val="{0000000B-2077-4FB0-9F37-13FB91287652}"/>
            </c:ext>
          </c:extLst>
        </c:ser>
        <c:ser>
          <c:idx val="0"/>
          <c:order val="1"/>
          <c:spPr>
            <a:ln w="25400" cap="rnd">
              <a:solidFill>
                <a:schemeClr val="accent1">
                  <a:lumMod val="50000"/>
                </a:schemeClr>
              </a:solidFill>
              <a:round/>
            </a:ln>
            <a:effectLst/>
          </c:spPr>
          <c:marker>
            <c:symbol val="circle"/>
            <c:size val="5"/>
            <c:spPr>
              <a:solidFill>
                <a:schemeClr val="accent1">
                  <a:lumMod val="50000"/>
                </a:schemeClr>
              </a:solidFill>
              <a:ln w="9525">
                <a:solidFill>
                  <a:schemeClr val="accent1">
                    <a:lumMod val="50000"/>
                  </a:schemeClr>
                </a:solidFill>
              </a:ln>
              <a:effectLst/>
            </c:spPr>
          </c:marker>
          <c:dLbls>
            <c:dLbl>
              <c:idx val="0"/>
              <c:layout>
                <c:manualLayout>
                  <c:x val="-4.2262552659900775E-2"/>
                  <c:y val="5.4350234403786467E-2"/>
                </c:manualLayout>
              </c:layout>
              <c:tx>
                <c:rich>
                  <a:bodyPr/>
                  <a:lstStyle/>
                  <a:p>
                    <a:fld id="{8EA038E9-73AC-4954-A777-060D9BE43C52}"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2077-4FB0-9F37-13FB91287652}"/>
                </c:ext>
              </c:extLst>
            </c:dLbl>
            <c:dLbl>
              <c:idx val="1"/>
              <c:tx>
                <c:rich>
                  <a:bodyPr/>
                  <a:lstStyle/>
                  <a:p>
                    <a:fld id="{0CEA2E6D-0739-4EE9-BD22-514C21FC6C03}" type="CELLRANGE">
                      <a:rPr lang="en-IN"/>
                      <a:pPr/>
                      <a:t>[CELLRANGE]</a:t>
                    </a:fld>
                    <a:endParaRPr lang="en-IN"/>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2077-4FB0-9F37-13FB91287652}"/>
                </c:ext>
              </c:extLst>
            </c:dLbl>
            <c:dLbl>
              <c:idx val="2"/>
              <c:layout>
                <c:manualLayout>
                  <c:x val="-0.11098872379014552"/>
                  <c:y val="0.11720191952750092"/>
                </c:manualLayout>
              </c:layout>
              <c:tx>
                <c:rich>
                  <a:bodyPr/>
                  <a:lstStyle/>
                  <a:p>
                    <a:fld id="{7E613D8A-7410-44EB-9F85-4C83B25CE71F}"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2077-4FB0-9F37-13FB91287652}"/>
                </c:ext>
              </c:extLst>
            </c:dLbl>
            <c:dLbl>
              <c:idx val="3"/>
              <c:layout>
                <c:manualLayout>
                  <c:x val="1.5809351132704708E-3"/>
                  <c:y val="-5.2607354904036455E-3"/>
                </c:manualLayout>
              </c:layout>
              <c:tx>
                <c:rich>
                  <a:bodyPr/>
                  <a:lstStyle/>
                  <a:p>
                    <a:fld id="{C05040EB-D86F-430D-A8FA-5CE844CE99F8}"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2077-4FB0-9F37-13FB91287652}"/>
                </c:ext>
              </c:extLst>
            </c:dLbl>
            <c:dLbl>
              <c:idx val="4"/>
              <c:tx>
                <c:rich>
                  <a:bodyPr/>
                  <a:lstStyle/>
                  <a:p>
                    <a:fld id="{3874AA86-5B8A-4890-BA9C-947CFE34BE92}" type="CELLRANGE">
                      <a:rPr lang="en-IN"/>
                      <a:pPr/>
                      <a:t>[CELLRANGE]</a:t>
                    </a:fld>
                    <a:endParaRPr lang="en-IN"/>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2077-4FB0-9F37-13FB91287652}"/>
                </c:ext>
              </c:extLst>
            </c:dLbl>
            <c:dLbl>
              <c:idx val="5"/>
              <c:layout>
                <c:manualLayout>
                  <c:x val="-2.4946372591635856E-2"/>
                  <c:y val="5.3191881069636855E-2"/>
                </c:manualLayout>
              </c:layout>
              <c:tx>
                <c:rich>
                  <a:bodyPr/>
                  <a:lstStyle/>
                  <a:p>
                    <a:fld id="{EF3E5B4F-E2D2-4DE9-8447-BD22215F1D44}"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2077-4FB0-9F37-13FB91287652}"/>
                </c:ext>
              </c:extLst>
            </c:dLbl>
            <c:dLbl>
              <c:idx val="6"/>
              <c:tx>
                <c:rich>
                  <a:bodyPr/>
                  <a:lstStyle/>
                  <a:p>
                    <a:fld id="{58F5CD68-14D4-4901-ACC1-CB66AC315549}" type="CELLRANGE">
                      <a:rPr lang="en-IN"/>
                      <a:pPr/>
                      <a:t>[CELLRANGE]</a:t>
                    </a:fld>
                    <a:endParaRPr lang="en-IN"/>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2077-4FB0-9F37-13FB91287652}"/>
                </c:ext>
              </c:extLst>
            </c:dLbl>
            <c:dLbl>
              <c:idx val="7"/>
              <c:layout>
                <c:manualLayout>
                  <c:x val="-1.6987029382419416E-2"/>
                  <c:y val="-4.8873751553366832E-2"/>
                </c:manualLayout>
              </c:layout>
              <c:tx>
                <c:rich>
                  <a:bodyPr/>
                  <a:lstStyle/>
                  <a:p>
                    <a:fld id="{BD4EACA4-C704-4C29-868A-E64D83F7A92C}"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2077-4FB0-9F37-13FB91287652}"/>
                </c:ext>
              </c:extLst>
            </c:dLbl>
            <c:dLbl>
              <c:idx val="8"/>
              <c:layout>
                <c:manualLayout>
                  <c:x val="-8.9674270818752479E-3"/>
                  <c:y val="0.1815285601938787"/>
                </c:manualLayout>
              </c:layout>
              <c:tx>
                <c:rich>
                  <a:bodyPr/>
                  <a:lstStyle/>
                  <a:p>
                    <a:fld id="{DAD9345D-13E2-4C9B-949A-9F535B4B0A1C}"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2077-4FB0-9F37-13FB91287652}"/>
                </c:ext>
              </c:extLst>
            </c:dLbl>
            <c:dLbl>
              <c:idx val="9"/>
              <c:layout>
                <c:manualLayout>
                  <c:x val="-0.14058118934625663"/>
                  <c:y val="8.5125725382839343E-3"/>
                </c:manualLayout>
              </c:layout>
              <c:tx>
                <c:rich>
                  <a:bodyPr/>
                  <a:lstStyle/>
                  <a:p>
                    <a:fld id="{6B651B97-B050-422D-B3E7-311F55A94164}"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2077-4FB0-9F37-13FB9128765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lumMod val="50000"/>
                      </a:schemeClr>
                    </a:solidFill>
                    <a:latin typeface="Tw Cen MT" panose="020B0602020104020603" pitchFamily="34" charset="0"/>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Progress'!$C$33:$C$42</c:f>
              <c:strCache>
                <c:ptCount val="10"/>
                <c:pt idx="0">
                  <c:v>Quants</c:v>
                </c:pt>
                <c:pt idx="1">
                  <c:v>Economics</c:v>
                </c:pt>
                <c:pt idx="2">
                  <c:v>FSA</c:v>
                </c:pt>
                <c:pt idx="3">
                  <c:v>Corp. Issuers</c:v>
                </c:pt>
                <c:pt idx="4">
                  <c:v>Equity</c:v>
                </c:pt>
                <c:pt idx="5">
                  <c:v>Fixed Income</c:v>
                </c:pt>
                <c:pt idx="6">
                  <c:v>Derivatives</c:v>
                </c:pt>
                <c:pt idx="7">
                  <c:v>Alt. Invest.</c:v>
                </c:pt>
                <c:pt idx="8">
                  <c:v>Portfolio-1 and 2</c:v>
                </c:pt>
                <c:pt idx="9">
                  <c:v>Ethics</c:v>
                </c:pt>
              </c:strCache>
            </c:strRef>
          </c:cat>
          <c:val>
            <c:numRef>
              <c:f>'📊 Progress'!$N$33:$N$42</c:f>
              <c:numCache>
                <c:formatCode>0.0;\-0.0;;@</c:formatCode>
                <c:ptCount val="10"/>
                <c:pt idx="0">
                  <c:v>2.4772727272727271</c:v>
                </c:pt>
                <c:pt idx="1">
                  <c:v>2.6551724137931032</c:v>
                </c:pt>
                <c:pt idx="2">
                  <c:v>2.2250000000000001</c:v>
                </c:pt>
                <c:pt idx="3">
                  <c:v>2.2272727272727275</c:v>
                </c:pt>
                <c:pt idx="4">
                  <c:v>2.3548387096774195</c:v>
                </c:pt>
                <c:pt idx="5">
                  <c:v>2.5686274509803919</c:v>
                </c:pt>
                <c:pt idx="6">
                  <c:v>2.333333333333333</c:v>
                </c:pt>
                <c:pt idx="7">
                  <c:v>2.1666666666666665</c:v>
                </c:pt>
                <c:pt idx="8">
                  <c:v>2.6</c:v>
                </c:pt>
                <c:pt idx="9">
                  <c:v>2.5833333333333335</c:v>
                </c:pt>
              </c:numCache>
            </c:numRef>
          </c:val>
          <c:smooth val="0"/>
          <c:extLst>
            <c:ext xmlns:c15="http://schemas.microsoft.com/office/drawing/2012/chart" uri="{02D57815-91ED-43cb-92C2-25804820EDAC}">
              <c15:datalabelsRange>
                <c15:f>'📊 Progress'!$C$33:$C$42</c15:f>
                <c15:dlblRangeCache>
                  <c:ptCount val="10"/>
                  <c:pt idx="0">
                    <c:v>Quants</c:v>
                  </c:pt>
                  <c:pt idx="1">
                    <c:v>Economics</c:v>
                  </c:pt>
                  <c:pt idx="2">
                    <c:v>FSA</c:v>
                  </c:pt>
                  <c:pt idx="3">
                    <c:v>Corp. Issuers</c:v>
                  </c:pt>
                  <c:pt idx="4">
                    <c:v>Equity</c:v>
                  </c:pt>
                  <c:pt idx="5">
                    <c:v>Fixed Income</c:v>
                  </c:pt>
                  <c:pt idx="6">
                    <c:v>Derivatives</c:v>
                  </c:pt>
                  <c:pt idx="7">
                    <c:v>Alt. Invest.</c:v>
                  </c:pt>
                  <c:pt idx="8">
                    <c:v>Portfolio-1 and 2</c:v>
                  </c:pt>
                  <c:pt idx="9">
                    <c:v>Ethics</c:v>
                  </c:pt>
                </c15:dlblRangeCache>
              </c15:datalabelsRange>
            </c:ext>
            <c:ext xmlns:c16="http://schemas.microsoft.com/office/drawing/2014/chart" uri="{C3380CC4-5D6E-409C-BE32-E72D297353CC}">
              <c16:uniqueId val="{0000000A-2077-4FB0-9F37-13FB91287652}"/>
            </c:ext>
          </c:extLst>
        </c:ser>
        <c:dLbls>
          <c:dLblPos val="t"/>
          <c:showLegendKey val="0"/>
          <c:showVal val="1"/>
          <c:showCatName val="0"/>
          <c:showSerName val="0"/>
          <c:showPercent val="0"/>
          <c:showBubbleSize val="0"/>
        </c:dLbls>
        <c:smooth val="0"/>
        <c:axId val="1985352560"/>
        <c:axId val="1985349648"/>
      </c:lineChart>
      <c:catAx>
        <c:axId val="1985352560"/>
        <c:scaling>
          <c:orientation val="minMax"/>
        </c:scaling>
        <c:delete val="1"/>
        <c:axPos val="b"/>
        <c:numFmt formatCode="General" sourceLinked="1"/>
        <c:majorTickMark val="none"/>
        <c:minorTickMark val="none"/>
        <c:tickLblPos val="nextTo"/>
        <c:crossAx val="1985349648"/>
        <c:crosses val="autoZero"/>
        <c:auto val="1"/>
        <c:lblAlgn val="ctr"/>
        <c:lblOffset val="100"/>
        <c:noMultiLvlLbl val="0"/>
      </c:catAx>
      <c:valAx>
        <c:axId val="1985349648"/>
        <c:scaling>
          <c:orientation val="minMax"/>
        </c:scaling>
        <c:delete val="1"/>
        <c:axPos val="l"/>
        <c:numFmt formatCode="0.0;\-0.0;;@" sourceLinked="1"/>
        <c:majorTickMark val="none"/>
        <c:minorTickMark val="none"/>
        <c:tickLblPos val="nextTo"/>
        <c:crossAx val="19853525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0-1490-4697-AB25-B5AE6FDF60C1}"/>
            </c:ext>
          </c:extLst>
        </c:ser>
        <c:ser>
          <c:idx val="1"/>
          <c:order val="1"/>
          <c:spPr>
            <a:ln w="28575" cap="rnd">
              <a:solidFill>
                <a:schemeClr val="accent2"/>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1-1490-4697-AB25-B5AE6FDF60C1}"/>
            </c:ext>
          </c:extLst>
        </c:ser>
        <c:ser>
          <c:idx val="2"/>
          <c:order val="2"/>
          <c:spPr>
            <a:ln w="28575" cap="rnd">
              <a:solidFill>
                <a:schemeClr val="accent3"/>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2-1490-4697-AB25-B5AE6FDF60C1}"/>
            </c:ext>
          </c:extLst>
        </c:ser>
        <c:ser>
          <c:idx val="3"/>
          <c:order val="3"/>
          <c:spPr>
            <a:ln w="28575" cap="rnd">
              <a:solidFill>
                <a:schemeClr val="accent4"/>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3-1490-4697-AB25-B5AE6FDF60C1}"/>
            </c:ext>
          </c:extLst>
        </c:ser>
        <c:ser>
          <c:idx val="4"/>
          <c:order val="4"/>
          <c:spPr>
            <a:ln w="28575" cap="rnd">
              <a:solidFill>
                <a:schemeClr val="accent5"/>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4-1490-4697-AB25-B5AE6FDF60C1}"/>
            </c:ext>
          </c:extLst>
        </c:ser>
        <c:ser>
          <c:idx val="5"/>
          <c:order val="5"/>
          <c:spPr>
            <a:ln w="28575" cap="rnd">
              <a:solidFill>
                <a:schemeClr val="accent6"/>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5-1490-4697-AB25-B5AE6FDF60C1}"/>
            </c:ext>
          </c:extLst>
        </c:ser>
        <c:ser>
          <c:idx val="6"/>
          <c:order val="6"/>
          <c:spPr>
            <a:ln w="28575" cap="rnd">
              <a:solidFill>
                <a:schemeClr val="accent1">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6-1490-4697-AB25-B5AE6FDF60C1}"/>
            </c:ext>
          </c:extLst>
        </c:ser>
        <c:ser>
          <c:idx val="7"/>
          <c:order val="7"/>
          <c:spPr>
            <a:ln w="28575" cap="rnd">
              <a:solidFill>
                <a:schemeClr val="accent2">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7-1490-4697-AB25-B5AE6FDF60C1}"/>
            </c:ext>
          </c:extLst>
        </c:ser>
        <c:ser>
          <c:idx val="8"/>
          <c:order val="8"/>
          <c:spPr>
            <a:ln w="28575" cap="rnd">
              <a:solidFill>
                <a:schemeClr val="accent3">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8-1490-4697-AB25-B5AE6FDF60C1}"/>
            </c:ext>
          </c:extLst>
        </c:ser>
        <c:ser>
          <c:idx val="9"/>
          <c:order val="9"/>
          <c:spPr>
            <a:ln w="28575" cap="rnd">
              <a:solidFill>
                <a:schemeClr val="accent4">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9-1490-4697-AB25-B5AE6FDF60C1}"/>
            </c:ext>
          </c:extLst>
        </c:ser>
        <c:ser>
          <c:idx val="10"/>
          <c:order val="10"/>
          <c:spPr>
            <a:ln w="28575" cap="rnd">
              <a:solidFill>
                <a:schemeClr val="accent5">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A-1490-4697-AB25-B5AE6FDF60C1}"/>
            </c:ext>
          </c:extLst>
        </c:ser>
        <c:ser>
          <c:idx val="11"/>
          <c:order val="11"/>
          <c:spPr>
            <a:ln w="28575" cap="rnd">
              <a:solidFill>
                <a:schemeClr val="accent6">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B-1490-4697-AB25-B5AE6FDF60C1}"/>
            </c:ext>
          </c:extLst>
        </c:ser>
        <c:ser>
          <c:idx val="12"/>
          <c:order val="12"/>
          <c:spPr>
            <a:ln w="28575" cap="rnd">
              <a:solidFill>
                <a:schemeClr val="accent1">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C-1490-4697-AB25-B5AE6FDF60C1}"/>
            </c:ext>
          </c:extLst>
        </c:ser>
        <c:ser>
          <c:idx val="13"/>
          <c:order val="13"/>
          <c:spPr>
            <a:ln w="28575" cap="rnd">
              <a:solidFill>
                <a:schemeClr val="accent2">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D-1490-4697-AB25-B5AE6FDF60C1}"/>
            </c:ext>
          </c:extLst>
        </c:ser>
        <c:ser>
          <c:idx val="14"/>
          <c:order val="14"/>
          <c:spPr>
            <a:ln w="28575" cap="rnd">
              <a:solidFill>
                <a:schemeClr val="accent3">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E-1490-4697-AB25-B5AE6FDF60C1}"/>
            </c:ext>
          </c:extLst>
        </c:ser>
        <c:ser>
          <c:idx val="15"/>
          <c:order val="15"/>
          <c:spPr>
            <a:ln w="28575" cap="rnd">
              <a:solidFill>
                <a:schemeClr val="accent4">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F-1490-4697-AB25-B5AE6FDF60C1}"/>
            </c:ext>
          </c:extLst>
        </c:ser>
        <c:ser>
          <c:idx val="16"/>
          <c:order val="16"/>
          <c:spPr>
            <a:ln w="28575" cap="rnd">
              <a:solidFill>
                <a:schemeClr val="accent5">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0-1490-4697-AB25-B5AE6FDF60C1}"/>
            </c:ext>
          </c:extLst>
        </c:ser>
        <c:ser>
          <c:idx val="17"/>
          <c:order val="17"/>
          <c:spPr>
            <a:ln w="28575" cap="rnd">
              <a:solidFill>
                <a:schemeClr val="accent6">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1-1490-4697-AB25-B5AE6FDF60C1}"/>
            </c:ext>
          </c:extLst>
        </c:ser>
        <c:ser>
          <c:idx val="18"/>
          <c:order val="18"/>
          <c:spPr>
            <a:ln w="28575" cap="rnd">
              <a:solidFill>
                <a:schemeClr val="accent1">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2-1490-4697-AB25-B5AE6FDF60C1}"/>
            </c:ext>
          </c:extLst>
        </c:ser>
        <c:ser>
          <c:idx val="19"/>
          <c:order val="19"/>
          <c:spPr>
            <a:ln w="28575" cap="rnd">
              <a:solidFill>
                <a:schemeClr val="accent2">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3-1490-4697-AB25-B5AE6FDF60C1}"/>
            </c:ext>
          </c:extLst>
        </c:ser>
        <c:ser>
          <c:idx val="20"/>
          <c:order val="20"/>
          <c:spPr>
            <a:ln w="28575" cap="rnd">
              <a:solidFill>
                <a:schemeClr val="accent3">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4-1490-4697-AB25-B5AE6FDF60C1}"/>
            </c:ext>
          </c:extLst>
        </c:ser>
        <c:ser>
          <c:idx val="21"/>
          <c:order val="21"/>
          <c:spPr>
            <a:ln w="28575" cap="rnd">
              <a:solidFill>
                <a:schemeClr val="accent4">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5-1490-4697-AB25-B5AE6FDF60C1}"/>
            </c:ext>
          </c:extLst>
        </c:ser>
        <c:ser>
          <c:idx val="22"/>
          <c:order val="22"/>
          <c:spPr>
            <a:ln w="28575" cap="rnd">
              <a:solidFill>
                <a:schemeClr val="accent5">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6-1490-4697-AB25-B5AE6FDF60C1}"/>
            </c:ext>
          </c:extLst>
        </c:ser>
        <c:ser>
          <c:idx val="23"/>
          <c:order val="23"/>
          <c:spPr>
            <a:ln w="28575" cap="rnd">
              <a:solidFill>
                <a:schemeClr val="accent6">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7-1490-4697-AB25-B5AE6FDF60C1}"/>
            </c:ext>
          </c:extLst>
        </c:ser>
        <c:ser>
          <c:idx val="24"/>
          <c:order val="24"/>
          <c:spPr>
            <a:ln w="28575" cap="rnd">
              <a:solidFill>
                <a:schemeClr val="accent1">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8-1490-4697-AB25-B5AE6FDF60C1}"/>
            </c:ext>
          </c:extLst>
        </c:ser>
        <c:ser>
          <c:idx val="25"/>
          <c:order val="25"/>
          <c:spPr>
            <a:ln w="28575" cap="rnd">
              <a:solidFill>
                <a:schemeClr val="accent2">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9-1490-4697-AB25-B5AE6FDF60C1}"/>
            </c:ext>
          </c:extLst>
        </c:ser>
        <c:ser>
          <c:idx val="26"/>
          <c:order val="26"/>
          <c:spPr>
            <a:ln w="28575" cap="rnd">
              <a:solidFill>
                <a:schemeClr val="accent3">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A-1490-4697-AB25-B5AE6FDF60C1}"/>
            </c:ext>
          </c:extLst>
        </c:ser>
        <c:ser>
          <c:idx val="27"/>
          <c:order val="27"/>
          <c:spPr>
            <a:ln w="28575" cap="rnd">
              <a:solidFill>
                <a:schemeClr val="accent4">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B-1490-4697-AB25-B5AE6FDF60C1}"/>
            </c:ext>
          </c:extLst>
        </c:ser>
        <c:ser>
          <c:idx val="28"/>
          <c:order val="28"/>
          <c:spPr>
            <a:ln w="28575" cap="rnd">
              <a:solidFill>
                <a:schemeClr val="accent5">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C-1490-4697-AB25-B5AE6FDF60C1}"/>
            </c:ext>
          </c:extLst>
        </c:ser>
        <c:ser>
          <c:idx val="29"/>
          <c:order val="29"/>
          <c:spPr>
            <a:ln w="28575" cap="rnd">
              <a:solidFill>
                <a:schemeClr val="accent6">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D-1490-4697-AB25-B5AE6FDF60C1}"/>
            </c:ext>
          </c:extLst>
        </c:ser>
        <c:ser>
          <c:idx val="30"/>
          <c:order val="30"/>
          <c:spPr>
            <a:ln w="28575" cap="rnd">
              <a:solidFill>
                <a:schemeClr val="accent1">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E-1490-4697-AB25-B5AE6FDF60C1}"/>
            </c:ext>
          </c:extLst>
        </c:ser>
        <c:ser>
          <c:idx val="31"/>
          <c:order val="31"/>
          <c:spPr>
            <a:ln w="28575" cap="rnd">
              <a:solidFill>
                <a:schemeClr val="accent2">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F-1490-4697-AB25-B5AE6FDF60C1}"/>
            </c:ext>
          </c:extLst>
        </c:ser>
        <c:ser>
          <c:idx val="32"/>
          <c:order val="32"/>
          <c:spPr>
            <a:ln w="28575" cap="rnd">
              <a:solidFill>
                <a:schemeClr val="accent3">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0-1490-4697-AB25-B5AE6FDF60C1}"/>
            </c:ext>
          </c:extLst>
        </c:ser>
        <c:ser>
          <c:idx val="33"/>
          <c:order val="33"/>
          <c:spPr>
            <a:ln w="28575" cap="rnd">
              <a:solidFill>
                <a:schemeClr val="accent4">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1-1490-4697-AB25-B5AE6FDF60C1}"/>
            </c:ext>
          </c:extLst>
        </c:ser>
        <c:ser>
          <c:idx val="34"/>
          <c:order val="34"/>
          <c:spPr>
            <a:ln w="28575" cap="rnd">
              <a:solidFill>
                <a:schemeClr val="accent5">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2-1490-4697-AB25-B5AE6FDF60C1}"/>
            </c:ext>
          </c:extLst>
        </c:ser>
        <c:ser>
          <c:idx val="35"/>
          <c:order val="35"/>
          <c:spPr>
            <a:ln w="28575" cap="rnd">
              <a:solidFill>
                <a:schemeClr val="accent6">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3-1490-4697-AB25-B5AE6FDF60C1}"/>
            </c:ext>
          </c:extLst>
        </c:ser>
        <c:ser>
          <c:idx val="36"/>
          <c:order val="36"/>
          <c:spPr>
            <a:ln w="28575" cap="rnd">
              <a:solidFill>
                <a:schemeClr val="accent1">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4-1490-4697-AB25-B5AE6FDF60C1}"/>
            </c:ext>
          </c:extLst>
        </c:ser>
        <c:ser>
          <c:idx val="37"/>
          <c:order val="37"/>
          <c:spPr>
            <a:ln w="28575" cap="rnd">
              <a:solidFill>
                <a:schemeClr val="accent2">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5-1490-4697-AB25-B5AE6FDF60C1}"/>
            </c:ext>
          </c:extLst>
        </c:ser>
        <c:ser>
          <c:idx val="38"/>
          <c:order val="38"/>
          <c:spPr>
            <a:ln w="28575" cap="rnd">
              <a:solidFill>
                <a:schemeClr val="accent3">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6-1490-4697-AB25-B5AE6FDF60C1}"/>
            </c:ext>
          </c:extLst>
        </c:ser>
        <c:ser>
          <c:idx val="39"/>
          <c:order val="39"/>
          <c:spPr>
            <a:ln w="28575" cap="rnd">
              <a:solidFill>
                <a:schemeClr val="accent4">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7-1490-4697-AB25-B5AE6FDF60C1}"/>
            </c:ext>
          </c:extLst>
        </c:ser>
        <c:ser>
          <c:idx val="40"/>
          <c:order val="40"/>
          <c:spPr>
            <a:ln w="28575" cap="rnd">
              <a:solidFill>
                <a:schemeClr val="accent5">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8-1490-4697-AB25-B5AE6FDF60C1}"/>
            </c:ext>
          </c:extLst>
        </c:ser>
        <c:ser>
          <c:idx val="41"/>
          <c:order val="41"/>
          <c:spPr>
            <a:ln w="28575" cap="rnd">
              <a:solidFill>
                <a:schemeClr val="accent6">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9-1490-4697-AB25-B5AE6FDF60C1}"/>
            </c:ext>
          </c:extLst>
        </c:ser>
        <c:ser>
          <c:idx val="42"/>
          <c:order val="42"/>
          <c:spPr>
            <a:ln w="28575" cap="rnd">
              <a:solidFill>
                <a:schemeClr val="accent1">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A-1490-4697-AB25-B5AE6FDF60C1}"/>
            </c:ext>
          </c:extLst>
        </c:ser>
        <c:ser>
          <c:idx val="43"/>
          <c:order val="43"/>
          <c:spPr>
            <a:ln w="28575" cap="rnd">
              <a:solidFill>
                <a:schemeClr val="accent2">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B-1490-4697-AB25-B5AE6FDF60C1}"/>
            </c:ext>
          </c:extLst>
        </c:ser>
        <c:ser>
          <c:idx val="44"/>
          <c:order val="44"/>
          <c:spPr>
            <a:ln w="28575" cap="rnd">
              <a:solidFill>
                <a:schemeClr val="accent3">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C-1490-4697-AB25-B5AE6FDF60C1}"/>
            </c:ext>
          </c:extLst>
        </c:ser>
        <c:ser>
          <c:idx val="45"/>
          <c:order val="45"/>
          <c:spPr>
            <a:ln w="28575" cap="rnd">
              <a:solidFill>
                <a:schemeClr val="accent4">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D-1490-4697-AB25-B5AE6FDF60C1}"/>
            </c:ext>
          </c:extLst>
        </c:ser>
        <c:ser>
          <c:idx val="46"/>
          <c:order val="46"/>
          <c:spPr>
            <a:ln w="28575" cap="rnd">
              <a:solidFill>
                <a:schemeClr val="accent5">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E-1490-4697-AB25-B5AE6FDF60C1}"/>
            </c:ext>
          </c:extLst>
        </c:ser>
        <c:ser>
          <c:idx val="47"/>
          <c:order val="47"/>
          <c:spPr>
            <a:ln w="28575" cap="rnd">
              <a:solidFill>
                <a:schemeClr val="accent6">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F-1490-4697-AB25-B5AE6FDF60C1}"/>
            </c:ext>
          </c:extLst>
        </c:ser>
        <c:ser>
          <c:idx val="48"/>
          <c:order val="48"/>
          <c:spPr>
            <a:ln w="28575" cap="rnd">
              <a:solidFill>
                <a:schemeClr val="accent1">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0-1490-4697-AB25-B5AE6FDF60C1}"/>
            </c:ext>
          </c:extLst>
        </c:ser>
        <c:ser>
          <c:idx val="49"/>
          <c:order val="49"/>
          <c:spPr>
            <a:ln w="28575" cap="rnd">
              <a:solidFill>
                <a:schemeClr val="accent2">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1-1490-4697-AB25-B5AE6FDF60C1}"/>
            </c:ext>
          </c:extLst>
        </c:ser>
        <c:ser>
          <c:idx val="50"/>
          <c:order val="50"/>
          <c:spPr>
            <a:ln w="28575" cap="rnd">
              <a:solidFill>
                <a:schemeClr val="accent3">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2-1490-4697-AB25-B5AE6FDF60C1}"/>
            </c:ext>
          </c:extLst>
        </c:ser>
        <c:ser>
          <c:idx val="51"/>
          <c:order val="51"/>
          <c:spPr>
            <a:ln w="28575" cap="rnd">
              <a:solidFill>
                <a:schemeClr val="accent4">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3-1490-4697-AB25-B5AE6FDF60C1}"/>
            </c:ext>
          </c:extLst>
        </c:ser>
        <c:ser>
          <c:idx val="52"/>
          <c:order val="52"/>
          <c:spPr>
            <a:ln w="28575" cap="rnd">
              <a:solidFill>
                <a:schemeClr val="accent5">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4-1490-4697-AB25-B5AE6FDF60C1}"/>
            </c:ext>
          </c:extLst>
        </c:ser>
        <c:ser>
          <c:idx val="53"/>
          <c:order val="53"/>
          <c:spPr>
            <a:ln w="28575" cap="rnd">
              <a:solidFill>
                <a:schemeClr val="accent6">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5-1490-4697-AB25-B5AE6FDF60C1}"/>
            </c:ext>
          </c:extLst>
        </c:ser>
        <c:ser>
          <c:idx val="54"/>
          <c:order val="54"/>
          <c:spPr>
            <a:ln w="28575" cap="rnd">
              <a:solidFill>
                <a:schemeClr val="accent1"/>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6-1490-4697-AB25-B5AE6FDF60C1}"/>
            </c:ext>
          </c:extLst>
        </c:ser>
        <c:ser>
          <c:idx val="55"/>
          <c:order val="55"/>
          <c:spPr>
            <a:ln w="28575" cap="rnd">
              <a:solidFill>
                <a:schemeClr val="accent2"/>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7-1490-4697-AB25-B5AE6FDF60C1}"/>
            </c:ext>
          </c:extLst>
        </c:ser>
        <c:ser>
          <c:idx val="56"/>
          <c:order val="56"/>
          <c:spPr>
            <a:ln w="28575" cap="rnd">
              <a:solidFill>
                <a:schemeClr val="accent3"/>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8-1490-4697-AB25-B5AE6FDF60C1}"/>
            </c:ext>
          </c:extLst>
        </c:ser>
        <c:ser>
          <c:idx val="57"/>
          <c:order val="57"/>
          <c:spPr>
            <a:ln w="28575" cap="rnd">
              <a:solidFill>
                <a:schemeClr val="accent4"/>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9-1490-4697-AB25-B5AE6FDF60C1}"/>
            </c:ext>
          </c:extLst>
        </c:ser>
        <c:ser>
          <c:idx val="58"/>
          <c:order val="58"/>
          <c:spPr>
            <a:ln w="28575" cap="rnd">
              <a:solidFill>
                <a:schemeClr val="accent5"/>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A-1490-4697-AB25-B5AE6FDF60C1}"/>
            </c:ext>
          </c:extLst>
        </c:ser>
        <c:ser>
          <c:idx val="59"/>
          <c:order val="59"/>
          <c:spPr>
            <a:ln w="28575" cap="rnd">
              <a:solidFill>
                <a:schemeClr val="accent6"/>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B-1490-4697-AB25-B5AE6FDF60C1}"/>
            </c:ext>
          </c:extLst>
        </c:ser>
        <c:ser>
          <c:idx val="60"/>
          <c:order val="60"/>
          <c:spPr>
            <a:ln w="28575" cap="rnd">
              <a:solidFill>
                <a:schemeClr val="accent1">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C-1490-4697-AB25-B5AE6FDF60C1}"/>
            </c:ext>
          </c:extLst>
        </c:ser>
        <c:ser>
          <c:idx val="61"/>
          <c:order val="61"/>
          <c:spPr>
            <a:ln w="28575" cap="rnd">
              <a:solidFill>
                <a:schemeClr val="accent2">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D-1490-4697-AB25-B5AE6FDF60C1}"/>
            </c:ext>
          </c:extLst>
        </c:ser>
        <c:ser>
          <c:idx val="62"/>
          <c:order val="62"/>
          <c:spPr>
            <a:ln w="28575" cap="rnd">
              <a:solidFill>
                <a:schemeClr val="accent3">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E-1490-4697-AB25-B5AE6FDF60C1}"/>
            </c:ext>
          </c:extLst>
        </c:ser>
        <c:ser>
          <c:idx val="63"/>
          <c:order val="63"/>
          <c:spPr>
            <a:ln w="28575" cap="rnd">
              <a:solidFill>
                <a:schemeClr val="accent4">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F-1490-4697-AB25-B5AE6FDF60C1}"/>
            </c:ext>
          </c:extLst>
        </c:ser>
        <c:ser>
          <c:idx val="64"/>
          <c:order val="64"/>
          <c:spPr>
            <a:ln w="28575" cap="rnd">
              <a:solidFill>
                <a:schemeClr val="accent5">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0-1490-4697-AB25-B5AE6FDF60C1}"/>
            </c:ext>
          </c:extLst>
        </c:ser>
        <c:ser>
          <c:idx val="65"/>
          <c:order val="65"/>
          <c:spPr>
            <a:ln w="28575" cap="rnd">
              <a:solidFill>
                <a:schemeClr val="accent6">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1-1490-4697-AB25-B5AE6FDF60C1}"/>
            </c:ext>
          </c:extLst>
        </c:ser>
        <c:ser>
          <c:idx val="66"/>
          <c:order val="66"/>
          <c:spPr>
            <a:ln w="28575" cap="rnd">
              <a:solidFill>
                <a:schemeClr val="accent1">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2-1490-4697-AB25-B5AE6FDF60C1}"/>
            </c:ext>
          </c:extLst>
        </c:ser>
        <c:ser>
          <c:idx val="67"/>
          <c:order val="67"/>
          <c:spPr>
            <a:ln w="28575" cap="rnd">
              <a:solidFill>
                <a:schemeClr val="accent2">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3-1490-4697-AB25-B5AE6FDF60C1}"/>
            </c:ext>
          </c:extLst>
        </c:ser>
        <c:ser>
          <c:idx val="68"/>
          <c:order val="68"/>
          <c:spPr>
            <a:ln w="28575" cap="rnd">
              <a:solidFill>
                <a:schemeClr val="accent3">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4-1490-4697-AB25-B5AE6FDF60C1}"/>
            </c:ext>
          </c:extLst>
        </c:ser>
        <c:ser>
          <c:idx val="69"/>
          <c:order val="69"/>
          <c:spPr>
            <a:ln w="28575" cap="rnd">
              <a:solidFill>
                <a:schemeClr val="accent4">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5-1490-4697-AB25-B5AE6FDF60C1}"/>
            </c:ext>
          </c:extLst>
        </c:ser>
        <c:ser>
          <c:idx val="70"/>
          <c:order val="70"/>
          <c:spPr>
            <a:ln w="28575" cap="rnd">
              <a:solidFill>
                <a:schemeClr val="accent5">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6-1490-4697-AB25-B5AE6FDF60C1}"/>
            </c:ext>
          </c:extLst>
        </c:ser>
        <c:ser>
          <c:idx val="71"/>
          <c:order val="71"/>
          <c:spPr>
            <a:ln w="28575" cap="rnd">
              <a:solidFill>
                <a:schemeClr val="accent6">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7-1490-4697-AB25-B5AE6FDF60C1}"/>
            </c:ext>
          </c:extLst>
        </c:ser>
        <c:ser>
          <c:idx val="72"/>
          <c:order val="72"/>
          <c:spPr>
            <a:ln w="28575" cap="rnd">
              <a:solidFill>
                <a:schemeClr val="accent1">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8-1490-4697-AB25-B5AE6FDF60C1}"/>
            </c:ext>
          </c:extLst>
        </c:ser>
        <c:ser>
          <c:idx val="73"/>
          <c:order val="73"/>
          <c:spPr>
            <a:ln w="28575" cap="rnd">
              <a:solidFill>
                <a:schemeClr val="accent2">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9-1490-4697-AB25-B5AE6FDF60C1}"/>
            </c:ext>
          </c:extLst>
        </c:ser>
        <c:ser>
          <c:idx val="74"/>
          <c:order val="74"/>
          <c:spPr>
            <a:ln w="28575" cap="rnd">
              <a:solidFill>
                <a:schemeClr val="accent3">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A-1490-4697-AB25-B5AE6FDF60C1}"/>
            </c:ext>
          </c:extLst>
        </c:ser>
        <c:ser>
          <c:idx val="75"/>
          <c:order val="75"/>
          <c:spPr>
            <a:ln w="28575" cap="rnd">
              <a:solidFill>
                <a:schemeClr val="accent4">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B-1490-4697-AB25-B5AE6FDF60C1}"/>
            </c:ext>
          </c:extLst>
        </c:ser>
        <c:ser>
          <c:idx val="76"/>
          <c:order val="76"/>
          <c:spPr>
            <a:ln w="28575" cap="rnd">
              <a:solidFill>
                <a:schemeClr val="accent5">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C-1490-4697-AB25-B5AE6FDF60C1}"/>
            </c:ext>
          </c:extLst>
        </c:ser>
        <c:ser>
          <c:idx val="77"/>
          <c:order val="77"/>
          <c:spPr>
            <a:ln w="28575" cap="rnd">
              <a:solidFill>
                <a:schemeClr val="accent6">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D-1490-4697-AB25-B5AE6FDF60C1}"/>
            </c:ext>
          </c:extLst>
        </c:ser>
        <c:ser>
          <c:idx val="78"/>
          <c:order val="78"/>
          <c:spPr>
            <a:ln w="28575" cap="rnd">
              <a:solidFill>
                <a:schemeClr val="accent1">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E-1490-4697-AB25-B5AE6FDF60C1}"/>
            </c:ext>
          </c:extLst>
        </c:ser>
        <c:ser>
          <c:idx val="79"/>
          <c:order val="79"/>
          <c:spPr>
            <a:ln w="28575" cap="rnd">
              <a:solidFill>
                <a:schemeClr val="accent2">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F-1490-4697-AB25-B5AE6FDF60C1}"/>
            </c:ext>
          </c:extLst>
        </c:ser>
        <c:ser>
          <c:idx val="80"/>
          <c:order val="80"/>
          <c:spPr>
            <a:ln w="28575" cap="rnd">
              <a:solidFill>
                <a:schemeClr val="accent3">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0-1490-4697-AB25-B5AE6FDF60C1}"/>
            </c:ext>
          </c:extLst>
        </c:ser>
        <c:ser>
          <c:idx val="81"/>
          <c:order val="81"/>
          <c:spPr>
            <a:ln w="28575" cap="rnd">
              <a:solidFill>
                <a:schemeClr val="accent4">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1-1490-4697-AB25-B5AE6FDF60C1}"/>
            </c:ext>
          </c:extLst>
        </c:ser>
        <c:ser>
          <c:idx val="82"/>
          <c:order val="82"/>
          <c:spPr>
            <a:ln w="28575" cap="rnd">
              <a:solidFill>
                <a:schemeClr val="accent5">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2-1490-4697-AB25-B5AE6FDF60C1}"/>
            </c:ext>
          </c:extLst>
        </c:ser>
        <c:ser>
          <c:idx val="83"/>
          <c:order val="83"/>
          <c:spPr>
            <a:ln w="28575" cap="rnd">
              <a:solidFill>
                <a:schemeClr val="accent6">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3-1490-4697-AB25-B5AE6FDF60C1}"/>
            </c:ext>
          </c:extLst>
        </c:ser>
        <c:ser>
          <c:idx val="84"/>
          <c:order val="84"/>
          <c:spPr>
            <a:ln w="28575" cap="rnd">
              <a:solidFill>
                <a:schemeClr val="accent1">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4-1490-4697-AB25-B5AE6FDF60C1}"/>
            </c:ext>
          </c:extLst>
        </c:ser>
        <c:ser>
          <c:idx val="85"/>
          <c:order val="85"/>
          <c:spPr>
            <a:ln w="28575" cap="rnd">
              <a:solidFill>
                <a:schemeClr val="accent2">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5-1490-4697-AB25-B5AE6FDF60C1}"/>
            </c:ext>
          </c:extLst>
        </c:ser>
        <c:ser>
          <c:idx val="86"/>
          <c:order val="86"/>
          <c:spPr>
            <a:ln w="28575" cap="rnd">
              <a:solidFill>
                <a:schemeClr val="accent3">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6-1490-4697-AB25-B5AE6FDF60C1}"/>
            </c:ext>
          </c:extLst>
        </c:ser>
        <c:ser>
          <c:idx val="87"/>
          <c:order val="87"/>
          <c:spPr>
            <a:ln w="28575" cap="rnd">
              <a:solidFill>
                <a:schemeClr val="accent4">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7-1490-4697-AB25-B5AE6FDF60C1}"/>
            </c:ext>
          </c:extLst>
        </c:ser>
        <c:ser>
          <c:idx val="88"/>
          <c:order val="88"/>
          <c:spPr>
            <a:ln w="28575" cap="rnd">
              <a:solidFill>
                <a:schemeClr val="accent5">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8-1490-4697-AB25-B5AE6FDF60C1}"/>
            </c:ext>
          </c:extLst>
        </c:ser>
        <c:ser>
          <c:idx val="89"/>
          <c:order val="89"/>
          <c:spPr>
            <a:ln w="28575" cap="rnd">
              <a:solidFill>
                <a:schemeClr val="accent6">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9-1490-4697-AB25-B5AE6FDF60C1}"/>
            </c:ext>
          </c:extLst>
        </c:ser>
        <c:ser>
          <c:idx val="90"/>
          <c:order val="90"/>
          <c:spPr>
            <a:ln w="28575" cap="rnd">
              <a:solidFill>
                <a:schemeClr val="accent1">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A-1490-4697-AB25-B5AE6FDF60C1}"/>
            </c:ext>
          </c:extLst>
        </c:ser>
        <c:ser>
          <c:idx val="91"/>
          <c:order val="91"/>
          <c:spPr>
            <a:ln w="28575" cap="rnd">
              <a:solidFill>
                <a:schemeClr val="accent2">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B-1490-4697-AB25-B5AE6FDF60C1}"/>
            </c:ext>
          </c:extLst>
        </c:ser>
        <c:ser>
          <c:idx val="92"/>
          <c:order val="92"/>
          <c:spPr>
            <a:ln w="28575" cap="rnd">
              <a:solidFill>
                <a:schemeClr val="accent3">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C-1490-4697-AB25-B5AE6FDF60C1}"/>
            </c:ext>
          </c:extLst>
        </c:ser>
        <c:ser>
          <c:idx val="93"/>
          <c:order val="93"/>
          <c:spPr>
            <a:ln w="28575" cap="rnd">
              <a:solidFill>
                <a:schemeClr val="accent4">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D-1490-4697-AB25-B5AE6FDF60C1}"/>
            </c:ext>
          </c:extLst>
        </c:ser>
        <c:ser>
          <c:idx val="94"/>
          <c:order val="94"/>
          <c:spPr>
            <a:ln w="28575" cap="rnd">
              <a:solidFill>
                <a:schemeClr val="accent5">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E-1490-4697-AB25-B5AE6FDF60C1}"/>
            </c:ext>
          </c:extLst>
        </c:ser>
        <c:ser>
          <c:idx val="95"/>
          <c:order val="95"/>
          <c:spPr>
            <a:ln w="28575" cap="rnd">
              <a:solidFill>
                <a:schemeClr val="accent6">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F-1490-4697-AB25-B5AE6FDF60C1}"/>
            </c:ext>
          </c:extLst>
        </c:ser>
        <c:ser>
          <c:idx val="96"/>
          <c:order val="96"/>
          <c:spPr>
            <a:ln w="28575" cap="rnd">
              <a:solidFill>
                <a:schemeClr val="accent1">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0-1490-4697-AB25-B5AE6FDF60C1}"/>
            </c:ext>
          </c:extLst>
        </c:ser>
        <c:ser>
          <c:idx val="97"/>
          <c:order val="97"/>
          <c:spPr>
            <a:ln w="28575" cap="rnd">
              <a:solidFill>
                <a:schemeClr val="accent2">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1-1490-4697-AB25-B5AE6FDF60C1}"/>
            </c:ext>
          </c:extLst>
        </c:ser>
        <c:ser>
          <c:idx val="98"/>
          <c:order val="98"/>
          <c:spPr>
            <a:ln w="28575" cap="rnd">
              <a:solidFill>
                <a:schemeClr val="accent3">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2-1490-4697-AB25-B5AE6FDF60C1}"/>
            </c:ext>
          </c:extLst>
        </c:ser>
        <c:ser>
          <c:idx val="99"/>
          <c:order val="99"/>
          <c:spPr>
            <a:ln w="28575" cap="rnd">
              <a:solidFill>
                <a:schemeClr val="accent4">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3-1490-4697-AB25-B5AE6FDF60C1}"/>
            </c:ext>
          </c:extLst>
        </c:ser>
        <c:ser>
          <c:idx val="100"/>
          <c:order val="100"/>
          <c:spPr>
            <a:ln w="28575" cap="rnd">
              <a:solidFill>
                <a:schemeClr val="accent5">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4-1490-4697-AB25-B5AE6FDF60C1}"/>
            </c:ext>
          </c:extLst>
        </c:ser>
        <c:ser>
          <c:idx val="101"/>
          <c:order val="101"/>
          <c:spPr>
            <a:ln w="28575" cap="rnd">
              <a:solidFill>
                <a:schemeClr val="accent6">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5-1490-4697-AB25-B5AE6FDF60C1}"/>
            </c:ext>
          </c:extLst>
        </c:ser>
        <c:ser>
          <c:idx val="102"/>
          <c:order val="102"/>
          <c:spPr>
            <a:ln w="28575" cap="rnd">
              <a:solidFill>
                <a:schemeClr val="accent1">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6-1490-4697-AB25-B5AE6FDF60C1}"/>
            </c:ext>
          </c:extLst>
        </c:ser>
        <c:dLbls>
          <c:showLegendKey val="0"/>
          <c:showVal val="0"/>
          <c:showCatName val="0"/>
          <c:showSerName val="0"/>
          <c:showPercent val="0"/>
          <c:showBubbleSize val="0"/>
        </c:dLbls>
        <c:smooth val="0"/>
        <c:axId val="867241008"/>
        <c:axId val="867253488"/>
      </c:lineChart>
      <c:catAx>
        <c:axId val="867241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7253488"/>
        <c:crosses val="autoZero"/>
        <c:auto val="1"/>
        <c:lblAlgn val="ctr"/>
        <c:lblOffset val="100"/>
        <c:noMultiLvlLbl val="0"/>
      </c:catAx>
      <c:valAx>
        <c:axId val="8672534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7241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1261960674292927E-3"/>
          <c:y val="6.643494556830995E-2"/>
          <c:w val="0.98892560087745873"/>
          <c:h val="0.64489074758648646"/>
        </c:manualLayout>
      </c:layout>
      <c:barChart>
        <c:barDir val="bar"/>
        <c:grouping val="stacked"/>
        <c:varyColors val="0"/>
        <c:ser>
          <c:idx val="0"/>
          <c:order val="0"/>
          <c:spPr>
            <a:solidFill>
              <a:schemeClr val="accent1">
                <a:lumMod val="50000"/>
              </a:schemeClr>
            </a:solidFill>
            <a:ln>
              <a:noFill/>
            </a:ln>
            <a:effectLst/>
          </c:spPr>
          <c:invertIfNegative val="0"/>
          <c:dLbls>
            <c:dLbl>
              <c:idx val="0"/>
              <c:layout>
                <c:manualLayout>
                  <c:x val="-1.4410610989758202E-2"/>
                  <c:y val="0.11020982970277803"/>
                </c:manualLayout>
              </c:layout>
              <c:tx>
                <c:rich>
                  <a:bodyPr rot="0" spcFirstLastPara="1" vertOverflow="clip" horzOverflow="clip" vert="horz" wrap="square" lIns="36576" tIns="18288" rIns="36576" bIns="18288" anchor="ctr" anchorCtr="1">
                    <a:spAutoFit/>
                  </a:bodyPr>
                  <a:lstStyle/>
                  <a:p>
                    <a:pPr algn="ctr" rtl="0">
                      <a:defRPr sz="900" b="0" i="0" u="none" strike="noStrike" kern="1200" baseline="0">
                        <a:solidFill>
                          <a:schemeClr val="tx2">
                            <a:lumMod val="75000"/>
                          </a:schemeClr>
                        </a:solidFill>
                        <a:latin typeface="Tw Cen MT" panose="020B0602020104020603" pitchFamily="34" charset="0"/>
                        <a:ea typeface="+mn-ea"/>
                        <a:cs typeface="+mn-cs"/>
                      </a:defRPr>
                    </a:pPr>
                    <a:fld id="{48604ACC-822B-4A94-9056-B6779EB1ED36}" type="CELLRANGE">
                      <a:rPr lang="en-US"/>
                      <a:pPr algn="ctr" rtl="0">
                        <a:defRPr>
                          <a:solidFill>
                            <a:schemeClr val="tx2">
                              <a:lumMod val="75000"/>
                            </a:schemeClr>
                          </a:solidFill>
                        </a:defRPr>
                      </a:pPr>
                      <a:t>[CELLRANGE]</a:t>
                    </a:fld>
                    <a:endParaRPr lang="en-IN"/>
                  </a:p>
                </c:rich>
              </c:tx>
              <c:spPr>
                <a:noFill/>
                <a:ln>
                  <a:noFill/>
                </a:ln>
                <a:effectLst/>
              </c:spPr>
              <c:txPr>
                <a:bodyPr rot="0" spcFirstLastPara="1" vertOverflow="clip" horzOverflow="clip" vert="horz" wrap="square" lIns="36576" tIns="18288" rIns="36576" bIns="18288" anchor="ctr" anchorCtr="1">
                  <a:spAutoFit/>
                </a:bodyPr>
                <a:lstStyle/>
                <a:p>
                  <a:pPr algn="ctr" rtl="0">
                    <a:defRPr sz="900" b="0" i="0" u="none" strike="noStrike" kern="1200" baseline="0">
                      <a:solidFill>
                        <a:schemeClr val="tx2">
                          <a:lumMod val="75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gd name="adj1" fmla="val 48958"/>
                        <a:gd name="adj2" fmla="val 7326"/>
                      </a:avLst>
                    </a:prstGeom>
                    <a:noFill/>
                    <a:ln>
                      <a:noFill/>
                    </a:ln>
                  </c15:spPr>
                  <c15:dlblFieldTable/>
                  <c15:showDataLabelsRange val="1"/>
                </c:ext>
                <c:ext xmlns:c16="http://schemas.microsoft.com/office/drawing/2014/chart" uri="{C3380CC4-5D6E-409C-BE32-E72D297353CC}">
                  <c16:uniqueId val="{00000000-43BF-457B-B4E5-054BABB55D7C}"/>
                </c:ext>
              </c:extLst>
            </c:dLbl>
            <c:spPr>
              <a:noFill/>
              <a:ln>
                <a:noFill/>
              </a:ln>
              <a:effectLst/>
            </c:spPr>
            <c:txPr>
              <a:bodyPr rot="0" spcFirstLastPara="1" vertOverflow="clip" horzOverflow="clip" vert="horz" wrap="square" lIns="36576" tIns="18288" rIns="36576" bIns="18288" anchor="ctr" anchorCtr="1">
                <a:spAutoFit/>
              </a:bodyPr>
              <a:lstStyle/>
              <a:p>
                <a:pPr algn="ctr" rtl="0">
                  <a:defRPr sz="900" b="0" i="0" u="none" strike="noStrike" kern="1200" baseline="0">
                    <a:solidFill>
                      <a:schemeClr val="tx2">
                        <a:lumMod val="75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cat>
            <c:numRef>
              <c:f>Working!$H$3</c:f>
              <c:numCache>
                <c:formatCode>0%</c:formatCode>
                <c:ptCount val="1"/>
                <c:pt idx="0">
                  <c:v>0</c:v>
                </c:pt>
              </c:numCache>
            </c:numRef>
          </c:cat>
          <c:val>
            <c:numRef>
              <c:f>Working!$H$4</c:f>
              <c:numCache>
                <c:formatCode>0%</c:formatCode>
                <c:ptCount val="1"/>
                <c:pt idx="0">
                  <c:v>0.46607669616519171</c:v>
                </c:pt>
              </c:numCache>
            </c:numRef>
          </c:val>
          <c:extLst>
            <c:ext xmlns:c15="http://schemas.microsoft.com/office/drawing/2012/chart" uri="{02D57815-91ED-43cb-92C2-25804820EDAC}">
              <c15:datalabelsRange>
                <c15:f>Working!$J$4</c15:f>
                <c15:dlblRangeCache>
                  <c:ptCount val="1"/>
                  <c:pt idx="0">
                    <c:v>317 days over</c:v>
                  </c:pt>
                </c15:dlblRangeCache>
              </c15:datalabelsRange>
            </c:ext>
            <c:ext xmlns:c16="http://schemas.microsoft.com/office/drawing/2014/chart" uri="{C3380CC4-5D6E-409C-BE32-E72D297353CC}">
              <c16:uniqueId val="{00000001-43BF-457B-B4E5-054BABB55D7C}"/>
            </c:ext>
          </c:extLst>
        </c:ser>
        <c:ser>
          <c:idx val="1"/>
          <c:order val="1"/>
          <c:spPr>
            <a:solidFill>
              <a:schemeClr val="bg1">
                <a:lumMod val="75000"/>
              </a:schemeClr>
            </a:solidFill>
            <a:ln>
              <a:noFill/>
            </a:ln>
            <a:effectLst/>
          </c:spPr>
          <c:invertIfNegative val="0"/>
          <c:dLbls>
            <c:dLbl>
              <c:idx val="0"/>
              <c:layout>
                <c:manualLayout>
                  <c:x val="4.1548314796056585E-3"/>
                  <c:y val="-0.17307905875927362"/>
                </c:manualLayout>
              </c:layout>
              <c:tx>
                <c:rich>
                  <a:bodyPr/>
                  <a:lstStyle/>
                  <a:p>
                    <a:fld id="{BCBC6819-2591-4F9B-AE97-CE44DBECE777}" type="CELLRANGE">
                      <a:rPr lang="en-US"/>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43BF-457B-B4E5-054BABB55D7C}"/>
                </c:ext>
              </c:extLst>
            </c:dLbl>
            <c:spPr>
              <a:noFill/>
              <a:ln>
                <a:noFill/>
              </a:ln>
              <a:effectLst/>
            </c:spPr>
            <c:txPr>
              <a:bodyPr rot="0" spcFirstLastPara="1" vertOverflow="clip" horzOverflow="clip" vert="horz" wrap="square" lIns="36576" tIns="18288" rIns="36576" bIns="18288" anchor="ctr" anchorCtr="1">
                <a:spAutoFit/>
              </a:bodyPr>
              <a:lstStyle/>
              <a:p>
                <a:pPr algn="ctr" rtl="0">
                  <a:defRPr sz="900" b="0" i="0" u="none" strike="noStrike" kern="1200" baseline="0">
                    <a:solidFill>
                      <a:schemeClr val="bg2">
                        <a:lumMod val="50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cat>
            <c:numRef>
              <c:f>Working!$H$3</c:f>
              <c:numCache>
                <c:formatCode>0%</c:formatCode>
                <c:ptCount val="1"/>
                <c:pt idx="0">
                  <c:v>0</c:v>
                </c:pt>
              </c:numCache>
            </c:numRef>
          </c:cat>
          <c:val>
            <c:numRef>
              <c:f>Working!$H$5</c:f>
              <c:numCache>
                <c:formatCode>0%</c:formatCode>
                <c:ptCount val="1"/>
                <c:pt idx="0">
                  <c:v>0.49410029498525077</c:v>
                </c:pt>
              </c:numCache>
            </c:numRef>
          </c:val>
          <c:extLst>
            <c:ext xmlns:c15="http://schemas.microsoft.com/office/drawing/2012/chart" uri="{02D57815-91ED-43cb-92C2-25804820EDAC}">
              <c15:datalabelsRange>
                <c15:f>Working!$J$5</c15:f>
                <c15:dlblRangeCache>
                  <c:ptCount val="1"/>
                  <c:pt idx="0">
                    <c:v>335 study days left</c:v>
                  </c:pt>
                </c15:dlblRangeCache>
              </c15:datalabelsRange>
            </c:ext>
            <c:ext xmlns:c16="http://schemas.microsoft.com/office/drawing/2014/chart" uri="{C3380CC4-5D6E-409C-BE32-E72D297353CC}">
              <c16:uniqueId val="{00000003-43BF-457B-B4E5-054BABB55D7C}"/>
            </c:ext>
          </c:extLst>
        </c:ser>
        <c:ser>
          <c:idx val="2"/>
          <c:order val="2"/>
          <c:spPr>
            <a:solidFill>
              <a:schemeClr val="accent4">
                <a:lumMod val="60000"/>
                <a:lumOff val="40000"/>
              </a:schemeClr>
            </a:solidFill>
            <a:ln>
              <a:noFill/>
            </a:ln>
            <a:effectLst/>
          </c:spPr>
          <c:invertIfNegative val="0"/>
          <c:dLbls>
            <c:dLbl>
              <c:idx val="0"/>
              <c:layout>
                <c:manualLayout>
                  <c:x val="0"/>
                  <c:y val="-9.2645760320422377E-2"/>
                </c:manualLayout>
              </c:layout>
              <c:tx>
                <c:rich>
                  <a:bodyPr/>
                  <a:lstStyle/>
                  <a:p>
                    <a:fld id="{DC8CB809-BFB4-46BD-A45C-2F800EBDC4FE}" type="CELLRANGE">
                      <a:rPr lang="en-US">
                        <a:solidFill>
                          <a:schemeClr val="accent4">
                            <a:lumMod val="75000"/>
                          </a:schemeClr>
                        </a:solidFill>
                      </a:rPr>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43BF-457B-B4E5-054BABB55D7C}"/>
                </c:ext>
              </c:extLst>
            </c:dLbl>
            <c:spPr>
              <a:noFill/>
              <a:ln>
                <a:no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Tw Cen MT" panose="020B0602020104020603" pitchFamily="34" charset="0"/>
                    <a:ea typeface="+mn-ea"/>
                    <a:cs typeface="+mn-cs"/>
                  </a:defRPr>
                </a:pPr>
                <a:endParaRPr lang="en-US"/>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cat>
            <c:numRef>
              <c:f>Working!$H$3</c:f>
              <c:numCache>
                <c:formatCode>0%</c:formatCode>
                <c:ptCount val="1"/>
                <c:pt idx="0">
                  <c:v>0</c:v>
                </c:pt>
              </c:numCache>
            </c:numRef>
          </c:cat>
          <c:val>
            <c:numRef>
              <c:f>Working!$H$6</c:f>
              <c:numCache>
                <c:formatCode>0%</c:formatCode>
                <c:ptCount val="1"/>
                <c:pt idx="0">
                  <c:v>7.3746312684365156E-3</c:v>
                </c:pt>
              </c:numCache>
            </c:numRef>
          </c:val>
          <c:extLst>
            <c:ext xmlns:c15="http://schemas.microsoft.com/office/drawing/2012/chart" uri="{02D57815-91ED-43cb-92C2-25804820EDAC}">
              <c15:datalabelsRange>
                <c15:f>Working!$J$6</c15:f>
                <c15:dlblRangeCache>
                  <c:ptCount val="1"/>
                  <c:pt idx="0">
                    <c:v>5  buffer days</c:v>
                  </c:pt>
                </c15:dlblRangeCache>
              </c15:datalabelsRange>
            </c:ext>
            <c:ext xmlns:c16="http://schemas.microsoft.com/office/drawing/2014/chart" uri="{C3380CC4-5D6E-409C-BE32-E72D297353CC}">
              <c16:uniqueId val="{00000005-43BF-457B-B4E5-054BABB55D7C}"/>
            </c:ext>
          </c:extLst>
        </c:ser>
        <c:ser>
          <c:idx val="3"/>
          <c:order val="3"/>
          <c:spPr>
            <a:solidFill>
              <a:schemeClr val="accent2">
                <a:lumMod val="60000"/>
                <a:lumOff val="40000"/>
              </a:schemeClr>
            </a:solidFill>
            <a:ln>
              <a:noFill/>
            </a:ln>
            <a:effectLst/>
          </c:spPr>
          <c:invertIfNegative val="0"/>
          <c:dPt>
            <c:idx val="0"/>
            <c:invertIfNegative val="0"/>
            <c:bubble3D val="0"/>
            <c:extLst>
              <c:ext xmlns:c16="http://schemas.microsoft.com/office/drawing/2014/chart" uri="{C3380CC4-5D6E-409C-BE32-E72D297353CC}">
                <c16:uniqueId val="{00000006-43BF-457B-B4E5-054BABB55D7C}"/>
              </c:ext>
            </c:extLst>
          </c:dPt>
          <c:dLbls>
            <c:dLbl>
              <c:idx val="0"/>
              <c:layout>
                <c:manualLayout>
                  <c:x val="0"/>
                  <c:y val="-0.21860966420472877"/>
                </c:manualLayout>
              </c:layout>
              <c:tx>
                <c:rich>
                  <a:bodyPr/>
                  <a:lstStyle/>
                  <a:p>
                    <a:fld id="{DAF18BAB-D16F-40DD-AE28-854DD42D4037}" type="CELLRANGE">
                      <a:rPr lang="en-US"/>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43BF-457B-B4E5-054BABB55D7C}"/>
                </c:ext>
              </c:extLst>
            </c:dLbl>
            <c:spPr>
              <a:noFill/>
              <a:ln>
                <a:no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accent2">
                        <a:lumMod val="50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cat>
            <c:numRef>
              <c:f>Working!$H$3</c:f>
              <c:numCache>
                <c:formatCode>0%</c:formatCode>
                <c:ptCount val="1"/>
                <c:pt idx="0">
                  <c:v>0</c:v>
                </c:pt>
              </c:numCache>
            </c:numRef>
          </c:cat>
          <c:val>
            <c:numRef>
              <c:f>Working!$H$7</c:f>
              <c:numCache>
                <c:formatCode>0%</c:formatCode>
                <c:ptCount val="1"/>
                <c:pt idx="0">
                  <c:v>3.0973451327433676E-2</c:v>
                </c:pt>
              </c:numCache>
            </c:numRef>
          </c:val>
          <c:extLst>
            <c:ext xmlns:c15="http://schemas.microsoft.com/office/drawing/2012/chart" uri="{02D57815-91ED-43cb-92C2-25804820EDAC}">
              <c15:datalabelsRange>
                <c15:f>Working!$J$7</c15:f>
                <c15:dlblRangeCache>
                  <c:ptCount val="1"/>
                  <c:pt idx="0">
                    <c:v>21 revision days</c:v>
                  </c:pt>
                </c15:dlblRangeCache>
              </c15:datalabelsRange>
            </c:ext>
            <c:ext xmlns:c16="http://schemas.microsoft.com/office/drawing/2014/chart" uri="{C3380CC4-5D6E-409C-BE32-E72D297353CC}">
              <c16:uniqueId val="{00000007-43BF-457B-B4E5-054BABB55D7C}"/>
            </c:ext>
          </c:extLst>
        </c:ser>
        <c:dLbls>
          <c:showLegendKey val="0"/>
          <c:showVal val="0"/>
          <c:showCatName val="0"/>
          <c:showSerName val="0"/>
          <c:showPercent val="0"/>
          <c:showBubbleSize val="0"/>
        </c:dLbls>
        <c:gapWidth val="500"/>
        <c:overlap val="100"/>
        <c:axId val="1347660319"/>
        <c:axId val="1347663647"/>
      </c:barChart>
      <c:barChart>
        <c:barDir val="bar"/>
        <c:grouping val="clustered"/>
        <c:varyColors val="0"/>
        <c:ser>
          <c:idx val="4"/>
          <c:order val="4"/>
          <c:tx>
            <c:v>begin</c:v>
          </c:tx>
          <c:spPr>
            <a:noFill/>
            <a:ln>
              <a:noFill/>
            </a:ln>
            <a:effectLst/>
          </c:spPr>
          <c:invertIfNegative val="0"/>
          <c:dLbls>
            <c:dLbl>
              <c:idx val="0"/>
              <c:layout>
                <c:manualLayout>
                  <c:x val="-2.4409970392388815E-2"/>
                  <c:y val="0.1453567947366344"/>
                </c:manualLayout>
              </c:layout>
              <c:tx>
                <c:rich>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Tw Cen MT" panose="020B0602020104020603" pitchFamily="34" charset="0"/>
                        <a:ea typeface="+mn-ea"/>
                        <a:cs typeface="+mn-cs"/>
                      </a:defRPr>
                    </a:pPr>
                    <a:fld id="{8E06A876-50E8-40D4-B440-0062AE1F1ABC}" type="CELLRANGE">
                      <a:rPr lang="en-US"/>
                      <a:pPr>
                        <a:defRPr/>
                      </a:pPr>
                      <a:t>[CELLRANGE]</a:t>
                    </a:fld>
                    <a:endParaRPr lang="en-IN"/>
                  </a:p>
                </c:rich>
              </c:tx>
              <c:spPr>
                <a:xfrm>
                  <a:off x="0" y="597120"/>
                  <a:ext cx="735332" cy="354827"/>
                </a:xfrm>
                <a:noFill/>
                <a:ln>
                  <a:no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gd name="adj1" fmla="val -35782"/>
                        <a:gd name="adj2" fmla="val -44551"/>
                      </a:avLst>
                    </a:prstGeom>
                    <a:noFill/>
                    <a:ln>
                      <a:noFill/>
                    </a:ln>
                  </c15:spPr>
                  <c15:layout>
                    <c:manualLayout>
                      <c:w val="6.3515809119626024E-2"/>
                      <c:h val="0.30382977921784343"/>
                    </c:manualLayout>
                  </c15:layout>
                  <c15:dlblFieldTable/>
                  <c15:showDataLabelsRange val="1"/>
                </c:ext>
                <c:ext xmlns:c16="http://schemas.microsoft.com/office/drawing/2014/chart" uri="{C3380CC4-5D6E-409C-BE32-E72D297353CC}">
                  <c16:uniqueId val="{00000008-43BF-457B-B4E5-054BABB55D7C}"/>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val>
            <c:numRef>
              <c:f>Working!$I$3</c:f>
              <c:numCache>
                <c:formatCode>0%</c:formatCode>
                <c:ptCount val="1"/>
                <c:pt idx="0">
                  <c:v>1.4749262536873156E-3</c:v>
                </c:pt>
              </c:numCache>
            </c:numRef>
          </c:val>
          <c:extLst>
            <c:ext xmlns:c15="http://schemas.microsoft.com/office/drawing/2012/chart" uri="{02D57815-91ED-43cb-92C2-25804820EDAC}">
              <c15:datalabelsRange>
                <c15:f>Working!$K$3</c15:f>
                <c15:dlblRangeCache>
                  <c:ptCount val="1"/>
                  <c:pt idx="0">
                    <c:v>Start 
11-Jan-24</c:v>
                  </c:pt>
                </c15:dlblRangeCache>
              </c15:datalabelsRange>
            </c:ext>
            <c:ext xmlns:c16="http://schemas.microsoft.com/office/drawing/2014/chart" uri="{C3380CC4-5D6E-409C-BE32-E72D297353CC}">
              <c16:uniqueId val="{00000009-43BF-457B-B4E5-054BABB55D7C}"/>
            </c:ext>
          </c:extLst>
        </c:ser>
        <c:ser>
          <c:idx val="5"/>
          <c:order val="5"/>
          <c:tx>
            <c:v>today</c:v>
          </c:tx>
          <c:spPr>
            <a:noFill/>
            <a:ln>
              <a:noFill/>
            </a:ln>
            <a:effectLst/>
          </c:spPr>
          <c:invertIfNegative val="0"/>
          <c:dLbls>
            <c:dLbl>
              <c:idx val="0"/>
              <c:layout>
                <c:manualLayout>
                  <c:x val="-4.508787739068406E-2"/>
                  <c:y val="5.9637750821270152E-2"/>
                </c:manualLayout>
              </c:layout>
              <c:tx>
                <c:rich>
                  <a:bodyPr/>
                  <a:lstStyle/>
                  <a:p>
                    <a:fld id="{A38EEB77-C759-4AC1-963D-FE0115748CB6}" type="CELLRANGE">
                      <a:rPr lang="en-US"/>
                      <a:pPr/>
                      <a:t>[CELLRANGE]</a:t>
                    </a:fld>
                    <a:endParaRPr lang="en-IN"/>
                  </a:p>
                </c:rich>
              </c:tx>
              <c:showLegendKey val="0"/>
              <c:showVal val="0"/>
              <c:showCatName val="0"/>
              <c:showSerName val="0"/>
              <c:showPercent val="0"/>
              <c:showBubbleSize val="0"/>
              <c:extLst>
                <c:ext xmlns:c15="http://schemas.microsoft.com/office/drawing/2012/chart" uri="{CE6537A1-D6FC-4f65-9D91-7224C49458BB}">
                  <c15:layout>
                    <c:manualLayout>
                      <c:w val="0.10530843790628922"/>
                      <c:h val="0.12334565650806611"/>
                    </c:manualLayout>
                  </c15:layout>
                  <c15:dlblFieldTable/>
                  <c15:showDataLabelsRange val="1"/>
                </c:ext>
                <c:ext xmlns:c16="http://schemas.microsoft.com/office/drawing/2014/chart" uri="{C3380CC4-5D6E-409C-BE32-E72D297353CC}">
                  <c16:uniqueId val="{0000000A-43BF-457B-B4E5-054BABB55D7C}"/>
                </c:ext>
              </c:extLst>
            </c:dLbl>
            <c:spPr>
              <a:noFill/>
              <a:ln>
                <a:noFill/>
              </a:ln>
              <a:effectLst/>
            </c:spPr>
            <c:txPr>
              <a:bodyPr rot="0" spcFirstLastPara="1" vertOverflow="ellipsis" vert="horz" wrap="square" anchor="ctr" anchorCtr="1"/>
              <a:lstStyle/>
              <a:p>
                <a:pPr algn="ct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Working!$I$4</c:f>
              <c:numCache>
                <c:formatCode>0%</c:formatCode>
                <c:ptCount val="1"/>
                <c:pt idx="0">
                  <c:v>0.46755162241887904</c:v>
                </c:pt>
              </c:numCache>
            </c:numRef>
          </c:val>
          <c:extLst>
            <c:ext xmlns:c15="http://schemas.microsoft.com/office/drawing/2012/chart" uri="{02D57815-91ED-43cb-92C2-25804820EDAC}">
              <c15:datalabelsRange>
                <c15:f>Working!$K$4</c15:f>
                <c15:dlblRangeCache>
                  <c:ptCount val="1"/>
                  <c:pt idx="0">
                    <c:v>Today 23-Nov-24</c:v>
                  </c:pt>
                </c15:dlblRangeCache>
              </c15:datalabelsRange>
            </c:ext>
            <c:ext xmlns:c16="http://schemas.microsoft.com/office/drawing/2014/chart" uri="{C3380CC4-5D6E-409C-BE32-E72D297353CC}">
              <c16:uniqueId val="{0000000B-43BF-457B-B4E5-054BABB55D7C}"/>
            </c:ext>
          </c:extLst>
        </c:ser>
        <c:ser>
          <c:idx val="6"/>
          <c:order val="6"/>
          <c:tx>
            <c:v>lecture</c:v>
          </c:tx>
          <c:spPr>
            <a:noFill/>
            <a:ln>
              <a:noFill/>
            </a:ln>
            <a:effectLst/>
          </c:spPr>
          <c:invertIfNegative val="0"/>
          <c:val>
            <c:numRef>
              <c:f>Working!$I$5</c:f>
              <c:numCache>
                <c:formatCode>0%</c:formatCode>
                <c:ptCount val="1"/>
                <c:pt idx="0">
                  <c:v>0.96165191740412981</c:v>
                </c:pt>
              </c:numCache>
            </c:numRef>
          </c:val>
          <c:extLst>
            <c:ext xmlns:c16="http://schemas.microsoft.com/office/drawing/2014/chart" uri="{C3380CC4-5D6E-409C-BE32-E72D297353CC}">
              <c16:uniqueId val="{0000000C-43BF-457B-B4E5-054BABB55D7C}"/>
            </c:ext>
          </c:extLst>
        </c:ser>
        <c:ser>
          <c:idx val="7"/>
          <c:order val="7"/>
          <c:tx>
            <c:v>revision</c:v>
          </c:tx>
          <c:spPr>
            <a:noFill/>
            <a:ln>
              <a:noFill/>
            </a:ln>
            <a:effectLst/>
          </c:spPr>
          <c:invertIfNegative val="0"/>
          <c:val>
            <c:numRef>
              <c:f>Working!$I$6</c:f>
              <c:numCache>
                <c:formatCode>0%</c:formatCode>
                <c:ptCount val="1"/>
                <c:pt idx="0">
                  <c:v>0.96902654867256632</c:v>
                </c:pt>
              </c:numCache>
            </c:numRef>
          </c:val>
          <c:extLst>
            <c:ext xmlns:c16="http://schemas.microsoft.com/office/drawing/2014/chart" uri="{C3380CC4-5D6E-409C-BE32-E72D297353CC}">
              <c16:uniqueId val="{0000000D-43BF-457B-B4E5-054BABB55D7C}"/>
            </c:ext>
          </c:extLst>
        </c:ser>
        <c:ser>
          <c:idx val="8"/>
          <c:order val="8"/>
          <c:tx>
            <c:v>exam</c:v>
          </c:tx>
          <c:spPr>
            <a:noFill/>
            <a:ln>
              <a:noFill/>
            </a:ln>
            <a:effectLst/>
          </c:spPr>
          <c:invertIfNegative val="0"/>
          <c:dLbls>
            <c:dLbl>
              <c:idx val="0"/>
              <c:layout>
                <c:manualLayout>
                  <c:x val="-7.1356833003855369E-2"/>
                  <c:y val="0.36269382192610539"/>
                </c:manualLayout>
              </c:layout>
              <c:tx>
                <c:rich>
                  <a:bodyPr/>
                  <a:lstStyle/>
                  <a:p>
                    <a:fld id="{E8D921F0-422B-470A-AC2D-751FA27FBF12}" type="CELLRANGE">
                      <a:rPr lang="en-US"/>
                      <a:pPr/>
                      <a:t>[CELLRANGE]</a:t>
                    </a:fld>
                    <a:endParaRPr lang="en-IN"/>
                  </a:p>
                </c:rich>
              </c:tx>
              <c:showLegendKey val="0"/>
              <c:showVal val="1"/>
              <c:showCatName val="0"/>
              <c:showSerName val="0"/>
              <c:showPercent val="0"/>
              <c:showBubbleSize val="0"/>
              <c:extLst>
                <c:ext xmlns:c15="http://schemas.microsoft.com/office/drawing/2012/chart" uri="{CE6537A1-D6FC-4f65-9D91-7224C49458BB}">
                  <c15:layout>
                    <c:manualLayout>
                      <c:w val="9.3660319774062764E-2"/>
                      <c:h val="0.14742843246723888"/>
                    </c:manualLayout>
                  </c15:layout>
                  <c15:dlblFieldTable/>
                  <c15:showDataLabelsRange val="1"/>
                </c:ext>
                <c:ext xmlns:c16="http://schemas.microsoft.com/office/drawing/2014/chart" uri="{C3380CC4-5D6E-409C-BE32-E72D297353CC}">
                  <c16:uniqueId val="{0000000E-43BF-457B-B4E5-054BABB55D7C}"/>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Working!$I$7</c:f>
              <c:numCache>
                <c:formatCode>0%</c:formatCode>
                <c:ptCount val="1"/>
                <c:pt idx="0">
                  <c:v>1</c:v>
                </c:pt>
              </c:numCache>
            </c:numRef>
          </c:val>
          <c:extLst>
            <c:ext xmlns:c15="http://schemas.microsoft.com/office/drawing/2012/chart" uri="{02D57815-91ED-43cb-92C2-25804820EDAC}">
              <c15:datalabelsRange>
                <c15:f>Working!$K$7</c15:f>
                <c15:dlblRangeCache>
                  <c:ptCount val="1"/>
                  <c:pt idx="0">
                    <c:v>Exam 19-Nov-25</c:v>
                  </c:pt>
                </c15:dlblRangeCache>
              </c15:datalabelsRange>
            </c:ext>
            <c:ext xmlns:c16="http://schemas.microsoft.com/office/drawing/2014/chart" uri="{C3380CC4-5D6E-409C-BE32-E72D297353CC}">
              <c16:uniqueId val="{0000000F-43BF-457B-B4E5-054BABB55D7C}"/>
            </c:ext>
          </c:extLst>
        </c:ser>
        <c:dLbls>
          <c:showLegendKey val="0"/>
          <c:showVal val="0"/>
          <c:showCatName val="0"/>
          <c:showSerName val="0"/>
          <c:showPercent val="0"/>
          <c:showBubbleSize val="0"/>
        </c:dLbls>
        <c:gapWidth val="500"/>
        <c:axId val="1154661567"/>
        <c:axId val="1154663647"/>
      </c:barChart>
      <c:catAx>
        <c:axId val="1347660319"/>
        <c:scaling>
          <c:orientation val="minMax"/>
        </c:scaling>
        <c:delete val="1"/>
        <c:axPos val="l"/>
        <c:numFmt formatCode="0%" sourceLinked="1"/>
        <c:majorTickMark val="out"/>
        <c:minorTickMark val="none"/>
        <c:tickLblPos val="nextTo"/>
        <c:crossAx val="1347663647"/>
        <c:crosses val="autoZero"/>
        <c:auto val="1"/>
        <c:lblAlgn val="ctr"/>
        <c:lblOffset val="100"/>
        <c:noMultiLvlLbl val="0"/>
      </c:catAx>
      <c:valAx>
        <c:axId val="1347663647"/>
        <c:scaling>
          <c:orientation val="minMax"/>
        </c:scaling>
        <c:delete val="1"/>
        <c:axPos val="b"/>
        <c:numFmt formatCode="0%" sourceLinked="1"/>
        <c:majorTickMark val="out"/>
        <c:minorTickMark val="none"/>
        <c:tickLblPos val="nextTo"/>
        <c:crossAx val="1347660319"/>
        <c:crosses val="autoZero"/>
        <c:crossBetween val="between"/>
      </c:valAx>
      <c:valAx>
        <c:axId val="1154663647"/>
        <c:scaling>
          <c:orientation val="minMax"/>
          <c:max val="1"/>
        </c:scaling>
        <c:delete val="1"/>
        <c:axPos val="t"/>
        <c:numFmt formatCode="0%" sourceLinked="1"/>
        <c:majorTickMark val="out"/>
        <c:minorTickMark val="none"/>
        <c:tickLblPos val="nextTo"/>
        <c:crossAx val="1154661567"/>
        <c:crosses val="max"/>
        <c:crossBetween val="between"/>
      </c:valAx>
      <c:catAx>
        <c:axId val="1154661567"/>
        <c:scaling>
          <c:orientation val="minMax"/>
        </c:scaling>
        <c:delete val="1"/>
        <c:axPos val="r"/>
        <c:numFmt formatCode="0%" sourceLinked="1"/>
        <c:majorTickMark val="out"/>
        <c:minorTickMark val="none"/>
        <c:tickLblPos val="nextTo"/>
        <c:crossAx val="1154663647"/>
        <c:crosses val="max"/>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900">
          <a:latin typeface="Tw Cen MT" panose="020B0602020104020603"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Chapter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F73A-43D9-A160-6477D2F1F8FB}"/>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F73A-43D9-A160-6477D2F1F8FB}"/>
              </c:ext>
            </c:extLst>
          </c:dPt>
          <c:dPt>
            <c:idx val="2"/>
            <c:bubble3D val="0"/>
            <c:spPr>
              <a:solidFill>
                <a:srgbClr val="FFA3A3"/>
              </a:solidFill>
              <a:ln w="19050">
                <a:noFill/>
              </a:ln>
              <a:effectLst/>
            </c:spPr>
            <c:extLst>
              <c:ext xmlns:c16="http://schemas.microsoft.com/office/drawing/2014/chart" uri="{C3380CC4-5D6E-409C-BE32-E72D297353CC}">
                <c16:uniqueId val="{00000005-F73A-43D9-A160-6477D2F1F8FB}"/>
              </c:ext>
            </c:extLst>
          </c:dPt>
          <c:dPt>
            <c:idx val="3"/>
            <c:bubble3D val="0"/>
            <c:spPr>
              <a:solidFill>
                <a:srgbClr val="FF7979"/>
              </a:solidFill>
              <a:ln w="19050">
                <a:noFill/>
              </a:ln>
              <a:effectLst/>
            </c:spPr>
            <c:extLst>
              <c:ext xmlns:c16="http://schemas.microsoft.com/office/drawing/2014/chart" uri="{C3380CC4-5D6E-409C-BE32-E72D297353CC}">
                <c16:uniqueId val="{00000007-F73A-43D9-A160-6477D2F1F8FB}"/>
              </c:ext>
            </c:extLst>
          </c:dPt>
          <c:dLbls>
            <c:dLbl>
              <c:idx val="0"/>
              <c:tx>
                <c:rich>
                  <a:bodyPr/>
                  <a:lstStyle/>
                  <a:p>
                    <a:fld id="{33418215-0584-420D-A2C6-34570265C0C9}"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F73A-43D9-A160-6477D2F1F8FB}"/>
                </c:ext>
              </c:extLst>
            </c:dLbl>
            <c:dLbl>
              <c:idx val="1"/>
              <c:tx>
                <c:rich>
                  <a:bodyPr/>
                  <a:lstStyle/>
                  <a:p>
                    <a:fld id="{683C697E-13B1-4888-89FE-221EBA5C020F}"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73A-43D9-A160-6477D2F1F8FB}"/>
                </c:ext>
              </c:extLst>
            </c:dLbl>
            <c:dLbl>
              <c:idx val="2"/>
              <c:tx>
                <c:rich>
                  <a:bodyPr/>
                  <a:lstStyle/>
                  <a:p>
                    <a:fld id="{D5BF92D4-E0DE-4265-873C-DEA86A7584B2}"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F73A-43D9-A160-6477D2F1F8FB}"/>
                </c:ext>
              </c:extLst>
            </c:dLbl>
            <c:dLbl>
              <c:idx val="3"/>
              <c:tx>
                <c:rich>
                  <a:bodyPr/>
                  <a:lstStyle/>
                  <a:p>
                    <a:fld id="{D9FAC576-6AA4-4B4A-991B-FA6BD2D97FAB}"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F73A-43D9-A160-6477D2F1F8FB}"/>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dLblPos val="bestFit"/>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Working!$B$47:$B$50</c:f>
              <c:strCache>
                <c:ptCount val="4"/>
                <c:pt idx="0">
                  <c:v>Done</c:v>
                </c:pt>
                <c:pt idx="1">
                  <c:v>Extra Done</c:v>
                </c:pt>
                <c:pt idx="2">
                  <c:v>Extra Undone</c:v>
                </c:pt>
                <c:pt idx="3">
                  <c:v>Undone</c:v>
                </c:pt>
              </c:strCache>
            </c:strRef>
          </c:cat>
          <c:val>
            <c:numRef>
              <c:f>Working!$C$47:$C$50</c:f>
              <c:numCache>
                <c:formatCode>0%</c:formatCode>
                <c:ptCount val="4"/>
                <c:pt idx="0">
                  <c:v>0</c:v>
                </c:pt>
                <c:pt idx="1">
                  <c:v>0</c:v>
                </c:pt>
                <c:pt idx="2">
                  <c:v>0.48619631901840493</c:v>
                </c:pt>
                <c:pt idx="3">
                  <c:v>0.51380368098159501</c:v>
                </c:pt>
              </c:numCache>
            </c:numRef>
          </c:val>
          <c:extLst>
            <c:ext xmlns:c15="http://schemas.microsoft.com/office/drawing/2012/chart" uri="{02D57815-91ED-43cb-92C2-25804820EDAC}">
              <c15:datalabelsRange>
                <c15:f>Working!$E$47:$E$50</c15:f>
                <c15:dlblRangeCache>
                  <c:ptCount val="4"/>
                  <c:pt idx="2">
                    <c:v>Extra Undone, 56</c:v>
                  </c:pt>
                  <c:pt idx="3">
                    <c:v>Undone, 59</c:v>
                  </c:pt>
                </c15:dlblRangeCache>
              </c15:datalabelsRange>
            </c:ext>
            <c:ext xmlns:c16="http://schemas.microsoft.com/office/drawing/2014/chart" uri="{C3380CC4-5D6E-409C-BE32-E72D297353CC}">
              <c16:uniqueId val="{00000008-F73A-43D9-A160-6477D2F1F8FB}"/>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IN" sz="1800">
                <a:solidFill>
                  <a:sysClr val="windowText" lastClr="000000"/>
                </a:solidFill>
                <a:latin typeface="Tw Cen MT" panose="020B0602020104020603" pitchFamily="34" charset="0"/>
              </a:rPr>
              <a:t>Lectures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lotArea>
      <c:layout/>
      <c:pieChart>
        <c:varyColors val="1"/>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pivotSource>
    <c:name>[CFA Level 1 Performance Tracker '25.xlsx]Working!PivotTable1</c:name>
    <c:fmtId val="8"/>
  </c:pivotSource>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IN" sz="1800">
                <a:solidFill>
                  <a:sysClr val="windowText" lastClr="000000"/>
                </a:solidFill>
                <a:latin typeface="Tw Cen MT" panose="020B0602020104020603" pitchFamily="34" charset="0"/>
              </a:rPr>
              <a:t>Lectures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ivotFmts>
      <c:pivotFmt>
        <c:idx val="0"/>
        <c:spPr>
          <a:solidFill>
            <a:schemeClr val="accent2"/>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2">
              <a:shade val="76000"/>
            </a:schemeClr>
          </a:solidFill>
          <a:ln w="19050">
            <a:solidFill>
              <a:schemeClr val="lt1"/>
            </a:solidFill>
          </a:ln>
          <a:effectLst/>
        </c:spPr>
      </c:pivotFmt>
      <c:pivotFmt>
        <c:idx val="2"/>
        <c:spPr>
          <a:solidFill>
            <a:schemeClr val="accent2">
              <a:shade val="76000"/>
            </a:schemeClr>
          </a:solidFill>
          <a:ln w="19050">
            <a:solidFill>
              <a:schemeClr val="lt1"/>
            </a:solidFill>
          </a:ln>
          <a:effectLst/>
        </c:spPr>
      </c:pivotFmt>
      <c:pivotFmt>
        <c:idx val="3"/>
        <c:spPr>
          <a:solidFill>
            <a:schemeClr val="accent2"/>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4"/>
        <c:spPr>
          <a:solidFill>
            <a:schemeClr val="accent2">
              <a:shade val="76000"/>
            </a:schemeClr>
          </a:solidFill>
          <a:ln w="19050">
            <a:solidFill>
              <a:schemeClr val="lt1"/>
            </a:solidFill>
          </a:ln>
          <a:effectLst/>
        </c:spPr>
      </c:pivotFmt>
      <c:pivotFmt>
        <c:idx val="5"/>
        <c:spPr>
          <a:solidFill>
            <a:schemeClr val="accent2"/>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6"/>
        <c:spPr>
          <a:solidFill>
            <a:schemeClr val="tx1">
              <a:lumMod val="50000"/>
              <a:lumOff val="50000"/>
            </a:schemeClr>
          </a:solidFill>
          <a:ln w="19050">
            <a:solidFill>
              <a:schemeClr val="tx1">
                <a:lumMod val="50000"/>
                <a:lumOff val="50000"/>
              </a:schemeClr>
            </a:solidFill>
          </a:ln>
          <a:effectLst/>
        </c:spPr>
      </c:pivotFmt>
      <c:pivotFmt>
        <c:idx val="7"/>
        <c:spPr>
          <a:solidFill>
            <a:schemeClr val="bg2">
              <a:lumMod val="90000"/>
            </a:schemeClr>
          </a:solidFill>
          <a:ln w="19050">
            <a:solidFill>
              <a:schemeClr val="tx1">
                <a:lumMod val="50000"/>
                <a:lumOff val="50000"/>
              </a:schemeClr>
            </a:solidFill>
          </a:ln>
          <a:effectLst/>
        </c:spPr>
      </c:pivotFmt>
      <c:pivotFmt>
        <c:idx val="8"/>
        <c:spPr>
          <a:solidFill>
            <a:schemeClr val="accent2"/>
          </a:solidFill>
          <a:ln w="19050">
            <a:solidFill>
              <a:schemeClr val="bg1">
                <a:lumMod val="65000"/>
              </a:schemeClr>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9"/>
        <c:spPr>
          <a:solidFill>
            <a:schemeClr val="bg1">
              <a:lumMod val="50000"/>
            </a:schemeClr>
          </a:solidFill>
          <a:ln w="19050">
            <a:solidFill>
              <a:schemeClr val="bg1">
                <a:lumMod val="50000"/>
              </a:schemeClr>
            </a:solidFill>
          </a:ln>
          <a:effectLst/>
        </c:spPr>
      </c:pivotFmt>
      <c:pivotFmt>
        <c:idx val="10"/>
        <c:spPr>
          <a:solidFill>
            <a:schemeClr val="bg1">
              <a:lumMod val="85000"/>
            </a:schemeClr>
          </a:solidFill>
          <a:ln w="19050">
            <a:solidFill>
              <a:schemeClr val="bg1">
                <a:lumMod val="50000"/>
              </a:schemeClr>
            </a:solidFill>
          </a:ln>
          <a:effectLst/>
        </c:spPr>
      </c:pivotFmt>
    </c:pivotFmts>
    <c:plotArea>
      <c:layout/>
      <c:doughnutChart>
        <c:varyColors val="1"/>
        <c:ser>
          <c:idx val="0"/>
          <c:order val="0"/>
          <c:tx>
            <c:strRef>
              <c:f>Working!$C$77</c:f>
              <c:strCache>
                <c:ptCount val="1"/>
                <c:pt idx="0">
                  <c:v>Total</c:v>
                </c:pt>
              </c:strCache>
            </c:strRef>
          </c:tx>
          <c:spPr>
            <a:ln>
              <a:solidFill>
                <a:schemeClr val="bg1">
                  <a:lumMod val="65000"/>
                </a:schemeClr>
              </a:solidFill>
            </a:ln>
          </c:spPr>
          <c:dPt>
            <c:idx val="0"/>
            <c:bubble3D val="0"/>
            <c:spPr>
              <a:solidFill>
                <a:schemeClr val="bg1">
                  <a:lumMod val="85000"/>
                </a:schemeClr>
              </a:solidFill>
              <a:ln w="19050">
                <a:solidFill>
                  <a:schemeClr val="bg1">
                    <a:lumMod val="50000"/>
                  </a:schemeClr>
                </a:solidFill>
              </a:ln>
              <a:effectLst/>
            </c:spPr>
            <c:extLst>
              <c:ext xmlns:c16="http://schemas.microsoft.com/office/drawing/2014/chart" uri="{C3380CC4-5D6E-409C-BE32-E72D297353CC}">
                <c16:uniqueId val="{00000001-7242-4029-8D62-58915CD86FF7}"/>
              </c:ext>
            </c:extLst>
          </c:dPt>
          <c:dPt>
            <c:idx val="1"/>
            <c:bubble3D val="0"/>
            <c:spPr>
              <a:solidFill>
                <a:schemeClr val="accent2">
                  <a:tint val="30000"/>
                </a:schemeClr>
              </a:solidFill>
              <a:ln w="19050">
                <a:solidFill>
                  <a:schemeClr val="bg1">
                    <a:lumMod val="65000"/>
                  </a:schemeClr>
                </a:solidFill>
              </a:ln>
              <a:effectLst/>
            </c:spPr>
            <c:extLst>
              <c:ext xmlns:c16="http://schemas.microsoft.com/office/drawing/2014/chart" uri="{C3380CC4-5D6E-409C-BE32-E72D297353CC}">
                <c16:uniqueId val="{00000003-7242-4029-8D62-58915CD86FF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Working!$B$78:$B$79</c:f>
              <c:strCache>
                <c:ptCount val="1"/>
                <c:pt idx="0">
                  <c:v>U</c:v>
                </c:pt>
              </c:strCache>
            </c:strRef>
          </c:cat>
          <c:val>
            <c:numRef>
              <c:f>Working!$C$78:$C$79</c:f>
              <c:numCache>
                <c:formatCode>General</c:formatCode>
                <c:ptCount val="1"/>
                <c:pt idx="0">
                  <c:v>116</c:v>
                </c:pt>
              </c:numCache>
            </c:numRef>
          </c:val>
          <c:extLst>
            <c:ext xmlns:c16="http://schemas.microsoft.com/office/drawing/2014/chart" uri="{C3380CC4-5D6E-409C-BE32-E72D297353CC}">
              <c16:uniqueId val="{00000004-7242-4029-8D62-58915CD86FF7}"/>
            </c:ext>
          </c:extLst>
        </c:ser>
        <c:dLbls>
          <c:showLegendKey val="0"/>
          <c:showVal val="1"/>
          <c:showCatName val="0"/>
          <c:showSerName val="0"/>
          <c:showPercent val="0"/>
          <c:showBubbleSize val="0"/>
          <c:showLeaderLines val="1"/>
        </c:dLbls>
        <c:firstSliceAng val="0"/>
        <c:holeSize val="6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w Cen MT" panose="020B06020201040206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pivotSource>
    <c:name>[CFA Level 1 Performance Tracker '25.xlsx]Working!PivotTable2</c:name>
    <c:fmtId val="6"/>
  </c:pivotSource>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US" sz="1800">
                <a:solidFill>
                  <a:sysClr val="windowText" lastClr="000000"/>
                </a:solidFill>
                <a:latin typeface="Tw Cen MT" panose="020B0602020104020603" pitchFamily="34" charset="0"/>
              </a:rPr>
              <a:t>Self Study</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ivotFmts>
      <c:pivotFmt>
        <c:idx val="0"/>
        <c:spPr>
          <a:solidFill>
            <a:schemeClr val="accent4"/>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4">
              <a:shade val="76000"/>
            </a:schemeClr>
          </a:solidFill>
          <a:ln w="19050">
            <a:solidFill>
              <a:schemeClr val="lt1"/>
            </a:solidFill>
          </a:ln>
          <a:effectLst/>
        </c:spPr>
      </c:pivotFmt>
      <c:pivotFmt>
        <c:idx val="2"/>
        <c:spPr>
          <a:solidFill>
            <a:schemeClr val="accent4">
              <a:shade val="76000"/>
            </a:schemeClr>
          </a:solidFill>
          <a:ln w="19050">
            <a:solidFill>
              <a:schemeClr val="lt1"/>
            </a:solidFill>
          </a:ln>
          <a:effectLst/>
        </c:spPr>
      </c:pivotFmt>
      <c:pivotFmt>
        <c:idx val="3"/>
        <c:spPr>
          <a:solidFill>
            <a:schemeClr val="accent4"/>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4"/>
        <c:spPr>
          <a:solidFill>
            <a:schemeClr val="accent4">
              <a:shade val="76000"/>
            </a:schemeClr>
          </a:solidFill>
          <a:ln w="19050">
            <a:solidFill>
              <a:schemeClr val="lt1"/>
            </a:solidFill>
          </a:ln>
          <a:effectLst/>
        </c:spPr>
      </c:pivotFmt>
      <c:pivotFmt>
        <c:idx val="5"/>
        <c:spPr>
          <a:solidFill>
            <a:schemeClr val="accent4"/>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6"/>
        <c:spPr>
          <a:solidFill>
            <a:schemeClr val="accent6">
              <a:lumMod val="60000"/>
              <a:lumOff val="40000"/>
            </a:schemeClr>
          </a:solidFill>
          <a:ln w="19050">
            <a:solidFill>
              <a:schemeClr val="accent6">
                <a:lumMod val="60000"/>
                <a:lumOff val="40000"/>
              </a:schemeClr>
            </a:solidFill>
          </a:ln>
          <a:effectLst/>
        </c:spPr>
      </c:pivotFmt>
      <c:pivotFmt>
        <c:idx val="7"/>
        <c:spPr>
          <a:solidFill>
            <a:schemeClr val="accent6">
              <a:lumMod val="20000"/>
              <a:lumOff val="80000"/>
            </a:schemeClr>
          </a:solidFill>
          <a:ln w="19050">
            <a:solidFill>
              <a:schemeClr val="accent6">
                <a:lumMod val="60000"/>
                <a:lumOff val="40000"/>
              </a:schemeClr>
            </a:solidFill>
          </a:ln>
          <a:effectLst/>
        </c:spPr>
      </c:pivotFmt>
      <c:pivotFmt>
        <c:idx val="8"/>
        <c:spPr>
          <a:solidFill>
            <a:schemeClr val="accent6">
              <a:lumMod val="60000"/>
              <a:lumOff val="40000"/>
            </a:schemeClr>
          </a:solidFill>
          <a:ln w="19050">
            <a:solidFill>
              <a:schemeClr val="accent6">
                <a:lumMod val="60000"/>
                <a:lumOff val="40000"/>
              </a:schemeClr>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9"/>
        <c:spPr>
          <a:solidFill>
            <a:schemeClr val="accent6">
              <a:lumMod val="20000"/>
              <a:lumOff val="80000"/>
            </a:schemeClr>
          </a:solidFill>
          <a:ln w="19050">
            <a:solidFill>
              <a:schemeClr val="accent6">
                <a:lumMod val="60000"/>
                <a:lumOff val="40000"/>
              </a:schemeClr>
            </a:solidFill>
          </a:ln>
          <a:effectLst/>
        </c:spPr>
      </c:pivotFmt>
      <c:pivotFmt>
        <c:idx val="10"/>
        <c:spPr>
          <a:solidFill>
            <a:schemeClr val="accent6">
              <a:lumMod val="60000"/>
              <a:lumOff val="40000"/>
            </a:schemeClr>
          </a:solidFill>
          <a:ln w="19050">
            <a:solidFill>
              <a:schemeClr val="accent6">
                <a:lumMod val="60000"/>
                <a:lumOff val="40000"/>
              </a:schemeClr>
            </a:solidFill>
          </a:ln>
          <a:effectLst/>
        </c:spPr>
      </c:pivotFmt>
    </c:pivotFmts>
    <c:plotArea>
      <c:layout/>
      <c:doughnutChart>
        <c:varyColors val="1"/>
        <c:ser>
          <c:idx val="0"/>
          <c:order val="0"/>
          <c:tx>
            <c:strRef>
              <c:f>Working!$C$82</c:f>
              <c:strCache>
                <c:ptCount val="1"/>
                <c:pt idx="0">
                  <c:v>Total</c:v>
                </c:pt>
              </c:strCache>
            </c:strRef>
          </c:tx>
          <c:spPr>
            <a:solidFill>
              <a:schemeClr val="accent6">
                <a:lumMod val="60000"/>
                <a:lumOff val="40000"/>
              </a:schemeClr>
            </a:solidFill>
            <a:ln>
              <a:solidFill>
                <a:schemeClr val="accent6">
                  <a:lumMod val="60000"/>
                  <a:lumOff val="40000"/>
                </a:schemeClr>
              </a:solidFill>
            </a:ln>
          </c:spPr>
          <c:dPt>
            <c:idx val="0"/>
            <c:bubble3D val="0"/>
            <c:spPr>
              <a:solidFill>
                <a:schemeClr val="accent6">
                  <a:lumMod val="20000"/>
                  <a:lumOff val="80000"/>
                </a:schemeClr>
              </a:solidFill>
              <a:ln w="19050">
                <a:solidFill>
                  <a:schemeClr val="accent6">
                    <a:lumMod val="60000"/>
                    <a:lumOff val="40000"/>
                  </a:schemeClr>
                </a:solidFill>
              </a:ln>
              <a:effectLst/>
            </c:spPr>
            <c:extLst>
              <c:ext xmlns:c16="http://schemas.microsoft.com/office/drawing/2014/chart" uri="{C3380CC4-5D6E-409C-BE32-E72D297353CC}">
                <c16:uniqueId val="{00000001-4791-4F05-9C83-FBE0DD0AA5E5}"/>
              </c:ext>
            </c:extLst>
          </c:dPt>
          <c:dPt>
            <c:idx val="1"/>
            <c:bubble3D val="0"/>
            <c:spPr>
              <a:solidFill>
                <a:schemeClr val="accent6">
                  <a:lumMod val="60000"/>
                  <a:lumOff val="40000"/>
                </a:schemeClr>
              </a:solidFill>
              <a:ln w="19050">
                <a:solidFill>
                  <a:schemeClr val="accent6">
                    <a:lumMod val="60000"/>
                    <a:lumOff val="40000"/>
                  </a:schemeClr>
                </a:solidFill>
              </a:ln>
              <a:effectLst/>
            </c:spPr>
            <c:extLst>
              <c:ext xmlns:c16="http://schemas.microsoft.com/office/drawing/2014/chart" uri="{C3380CC4-5D6E-409C-BE32-E72D297353CC}">
                <c16:uniqueId val="{00000006-FE70-411F-9FB7-C6DA66D87B5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Working!$B$83:$B$84</c:f>
              <c:strCache>
                <c:ptCount val="1"/>
                <c:pt idx="0">
                  <c:v>U</c:v>
                </c:pt>
              </c:strCache>
            </c:strRef>
          </c:cat>
          <c:val>
            <c:numRef>
              <c:f>Working!$C$83:$C$84</c:f>
              <c:numCache>
                <c:formatCode>General</c:formatCode>
                <c:ptCount val="1"/>
                <c:pt idx="0">
                  <c:v>116</c:v>
                </c:pt>
              </c:numCache>
            </c:numRef>
          </c:val>
          <c:extLst>
            <c:ext xmlns:c16="http://schemas.microsoft.com/office/drawing/2014/chart" uri="{C3380CC4-5D6E-409C-BE32-E72D297353CC}">
              <c16:uniqueId val="{00000004-FE70-411F-9FB7-C6DA66D87B55}"/>
            </c:ext>
          </c:extLst>
        </c:ser>
        <c:dLbls>
          <c:showLegendKey val="0"/>
          <c:showVal val="1"/>
          <c:showCatName val="0"/>
          <c:showSerName val="0"/>
          <c:showPercent val="0"/>
          <c:showBubbleSize val="0"/>
          <c:showLeaderLines val="1"/>
        </c:dLbls>
        <c:firstSliceAng val="0"/>
        <c:holeSize val="6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w Cen MT" panose="020B06020201040206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pivotSource>
    <c:name>[CFA Level 1 Performance Tracker '25.xlsx]Working!PivotTable3</c:name>
    <c:fmtId val="6"/>
  </c:pivotSource>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US" sz="1800">
                <a:solidFill>
                  <a:sysClr val="windowText" lastClr="000000"/>
                </a:solidFill>
                <a:latin typeface="Tw Cen MT" panose="020B0602020104020603" pitchFamily="34" charset="0"/>
              </a:rPr>
              <a:t>Practice</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ivotFmts>
      <c:pivotFmt>
        <c:idx val="0"/>
        <c:spPr>
          <a:solidFill>
            <a:schemeClr val="accent3"/>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3">
              <a:shade val="76000"/>
            </a:schemeClr>
          </a:solidFill>
          <a:ln w="19050">
            <a:solidFill>
              <a:schemeClr val="lt1"/>
            </a:solidFill>
          </a:ln>
          <a:effectLst/>
        </c:spPr>
      </c:pivotFmt>
      <c:pivotFmt>
        <c:idx val="2"/>
        <c:spPr>
          <a:solidFill>
            <a:schemeClr val="accent3">
              <a:shade val="76000"/>
            </a:schemeClr>
          </a:solidFill>
          <a:ln w="19050">
            <a:solidFill>
              <a:schemeClr val="lt1"/>
            </a:solidFill>
          </a:ln>
          <a:effectLst/>
        </c:spPr>
      </c:pivotFmt>
      <c:pivotFmt>
        <c:idx val="3"/>
        <c:spPr>
          <a:solidFill>
            <a:schemeClr val="accent3"/>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4"/>
        <c:spPr>
          <a:solidFill>
            <a:schemeClr val="accent3">
              <a:shade val="76000"/>
            </a:schemeClr>
          </a:solidFill>
          <a:ln w="19050">
            <a:solidFill>
              <a:schemeClr val="lt1"/>
            </a:solidFill>
          </a:ln>
          <a:effectLst/>
        </c:spPr>
      </c:pivotFmt>
      <c:pivotFmt>
        <c:idx val="5"/>
        <c:spPr>
          <a:solidFill>
            <a:schemeClr val="accent3"/>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6"/>
        <c:spPr>
          <a:solidFill>
            <a:schemeClr val="accent2">
              <a:lumMod val="40000"/>
              <a:lumOff val="60000"/>
            </a:schemeClr>
          </a:solidFill>
          <a:ln w="19050">
            <a:solidFill>
              <a:schemeClr val="accent2">
                <a:lumMod val="75000"/>
              </a:schemeClr>
            </a:solidFill>
          </a:ln>
          <a:effectLst/>
        </c:spPr>
      </c:pivotFmt>
      <c:pivotFmt>
        <c:idx val="7"/>
        <c:spPr>
          <a:solidFill>
            <a:schemeClr val="accent2">
              <a:lumMod val="75000"/>
            </a:schemeClr>
          </a:solidFill>
          <a:ln w="19050">
            <a:solidFill>
              <a:schemeClr val="accent2">
                <a:lumMod val="75000"/>
              </a:schemeClr>
            </a:solidFill>
          </a:ln>
          <a:effectLst/>
        </c:spPr>
      </c:pivotFmt>
      <c:pivotFmt>
        <c:idx val="8"/>
        <c:spPr>
          <a:solidFill>
            <a:schemeClr val="accent2">
              <a:lumMod val="75000"/>
            </a:schemeClr>
          </a:solidFill>
          <a:ln w="19050">
            <a:solidFill>
              <a:schemeClr val="accent2">
                <a:lumMod val="75000"/>
              </a:schemeClr>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9"/>
        <c:spPr>
          <a:solidFill>
            <a:schemeClr val="accent2">
              <a:lumMod val="40000"/>
              <a:lumOff val="60000"/>
            </a:schemeClr>
          </a:solidFill>
          <a:ln w="19050">
            <a:solidFill>
              <a:schemeClr val="accent2">
                <a:lumMod val="75000"/>
              </a:schemeClr>
            </a:solidFill>
          </a:ln>
          <a:effectLst/>
        </c:spPr>
      </c:pivotFmt>
      <c:pivotFmt>
        <c:idx val="10"/>
        <c:spPr>
          <a:solidFill>
            <a:schemeClr val="accent2">
              <a:lumMod val="75000"/>
            </a:schemeClr>
          </a:solidFill>
          <a:ln w="19050">
            <a:solidFill>
              <a:schemeClr val="accent2">
                <a:lumMod val="75000"/>
              </a:schemeClr>
            </a:solidFill>
          </a:ln>
          <a:effectLst/>
        </c:spPr>
      </c:pivotFmt>
    </c:pivotFmts>
    <c:plotArea>
      <c:layout/>
      <c:doughnutChart>
        <c:varyColors val="1"/>
        <c:ser>
          <c:idx val="0"/>
          <c:order val="0"/>
          <c:tx>
            <c:strRef>
              <c:f>Working!$C$87</c:f>
              <c:strCache>
                <c:ptCount val="1"/>
                <c:pt idx="0">
                  <c:v>Total</c:v>
                </c:pt>
              </c:strCache>
            </c:strRef>
          </c:tx>
          <c:spPr>
            <a:solidFill>
              <a:schemeClr val="accent2">
                <a:lumMod val="75000"/>
              </a:schemeClr>
            </a:solidFill>
            <a:ln>
              <a:solidFill>
                <a:schemeClr val="accent2">
                  <a:lumMod val="75000"/>
                </a:schemeClr>
              </a:solidFill>
            </a:ln>
          </c:spPr>
          <c:dPt>
            <c:idx val="0"/>
            <c:bubble3D val="0"/>
            <c:spPr>
              <a:solidFill>
                <a:schemeClr val="accent2">
                  <a:lumMod val="40000"/>
                  <a:lumOff val="60000"/>
                </a:schemeClr>
              </a:solidFill>
              <a:ln w="19050">
                <a:solidFill>
                  <a:schemeClr val="accent2">
                    <a:lumMod val="75000"/>
                  </a:schemeClr>
                </a:solidFill>
              </a:ln>
              <a:effectLst/>
            </c:spPr>
            <c:extLst>
              <c:ext xmlns:c16="http://schemas.microsoft.com/office/drawing/2014/chart" uri="{C3380CC4-5D6E-409C-BE32-E72D297353CC}">
                <c16:uniqueId val="{00000001-11FC-4C96-B61D-01B0E74A8A0C}"/>
              </c:ext>
            </c:extLst>
          </c:dPt>
          <c:dPt>
            <c:idx val="1"/>
            <c:bubble3D val="0"/>
            <c:spPr>
              <a:solidFill>
                <a:schemeClr val="accent2">
                  <a:lumMod val="75000"/>
                </a:schemeClr>
              </a:solidFill>
              <a:ln w="19050">
                <a:solidFill>
                  <a:schemeClr val="accent2">
                    <a:lumMod val="75000"/>
                  </a:schemeClr>
                </a:solidFill>
              </a:ln>
              <a:effectLst/>
            </c:spPr>
            <c:extLst>
              <c:ext xmlns:c16="http://schemas.microsoft.com/office/drawing/2014/chart" uri="{C3380CC4-5D6E-409C-BE32-E72D297353CC}">
                <c16:uniqueId val="{00000007-1B82-410F-9EAF-97E19C48E17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Working!$B$88:$B$89</c:f>
              <c:strCache>
                <c:ptCount val="1"/>
                <c:pt idx="0">
                  <c:v>U</c:v>
                </c:pt>
              </c:strCache>
            </c:strRef>
          </c:cat>
          <c:val>
            <c:numRef>
              <c:f>Working!$C$88:$C$89</c:f>
              <c:numCache>
                <c:formatCode>General</c:formatCode>
                <c:ptCount val="1"/>
                <c:pt idx="0">
                  <c:v>116</c:v>
                </c:pt>
              </c:numCache>
            </c:numRef>
          </c:val>
          <c:extLst>
            <c:ext xmlns:c16="http://schemas.microsoft.com/office/drawing/2014/chart" uri="{C3380CC4-5D6E-409C-BE32-E72D297353CC}">
              <c16:uniqueId val="{00000004-1B82-410F-9EAF-97E19C48E17B}"/>
            </c:ext>
          </c:extLst>
        </c:ser>
        <c:dLbls>
          <c:showLegendKey val="0"/>
          <c:showVal val="1"/>
          <c:showCatName val="0"/>
          <c:showSerName val="0"/>
          <c:showPercent val="0"/>
          <c:showBubbleSize val="0"/>
          <c:showLeaderLines val="1"/>
        </c:dLbls>
        <c:firstSliceAng val="0"/>
        <c:holeSize val="6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w Cen MT" panose="020B06020201040206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withinLinear" id="14">
  <a:schemeClr val="accent1"/>
</cs:colorStyle>
</file>

<file path=xl/charts/colors11.xml><?xml version="1.0" encoding="utf-8"?>
<cs:colorStyle xmlns:cs="http://schemas.microsoft.com/office/drawing/2012/chartStyle" xmlns:a="http://schemas.openxmlformats.org/drawingml/2006/main" meth="withinLinear" id="19">
  <a:schemeClr val="accent6"/>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 id="15">
  <a:schemeClr val="accent2"/>
</cs:colorStyle>
</file>

<file path=xl/charts/colors8.xml><?xml version="1.0" encoding="utf-8"?>
<cs:colorStyle xmlns:cs="http://schemas.microsoft.com/office/drawing/2012/chartStyle" xmlns:a="http://schemas.openxmlformats.org/drawingml/2006/main" meth="withinLinear" id="17">
  <a:schemeClr val="accent4"/>
</cs:colorStyle>
</file>

<file path=xl/charts/colors9.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hyperlink" Target="https://youtu.be/zzWlw3wJrg8" TargetMode="External"/><Relationship Id="rId2" Type="http://schemas.microsoft.com/office/2007/relationships/hdphoto" Target="../media/hdphoto1.wdp"/><Relationship Id="rId1" Type="http://schemas.openxmlformats.org/officeDocument/2006/relationships/image" Target="../media/image1.png"/><Relationship Id="rId6" Type="http://schemas.openxmlformats.org/officeDocument/2006/relationships/image" Target="../media/image3.png"/><Relationship Id="rId5" Type="http://schemas.openxmlformats.org/officeDocument/2006/relationships/hyperlink" Target="https://wa.me/+919831779747" TargetMode="External"/><Relationship Id="rId4" Type="http://schemas.openxmlformats.org/officeDocument/2006/relationships/hyperlink" Target="https://classes.aswinibajaj.com/"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image" Target="../media/image6.png"/><Relationship Id="rId13" Type="http://schemas.openxmlformats.org/officeDocument/2006/relationships/chart" Target="../charts/chart11.xml"/><Relationship Id="rId3" Type="http://schemas.openxmlformats.org/officeDocument/2006/relationships/chart" Target="../charts/chart4.xml"/><Relationship Id="rId7" Type="http://schemas.openxmlformats.org/officeDocument/2006/relationships/image" Target="../media/image5.png"/><Relationship Id="rId12" Type="http://schemas.openxmlformats.org/officeDocument/2006/relationships/chart" Target="../charts/chart10.xml"/><Relationship Id="rId17" Type="http://schemas.openxmlformats.org/officeDocument/2006/relationships/image" Target="../media/image7.png"/><Relationship Id="rId2" Type="http://schemas.openxmlformats.org/officeDocument/2006/relationships/chart" Target="../charts/chart3.xml"/><Relationship Id="rId16" Type="http://schemas.openxmlformats.org/officeDocument/2006/relationships/chart" Target="../charts/chart14.xml"/><Relationship Id="rId1" Type="http://schemas.openxmlformats.org/officeDocument/2006/relationships/chart" Target="../charts/chart2.xml"/><Relationship Id="rId6" Type="http://schemas.openxmlformats.org/officeDocument/2006/relationships/chart" Target="../charts/chart6.xml"/><Relationship Id="rId11" Type="http://schemas.openxmlformats.org/officeDocument/2006/relationships/chart" Target="../charts/chart9.xml"/><Relationship Id="rId5" Type="http://schemas.openxmlformats.org/officeDocument/2006/relationships/chart" Target="../charts/chart5.xml"/><Relationship Id="rId15" Type="http://schemas.openxmlformats.org/officeDocument/2006/relationships/chart" Target="../charts/chart13.xml"/><Relationship Id="rId10" Type="http://schemas.openxmlformats.org/officeDocument/2006/relationships/chart" Target="../charts/chart8.xml"/><Relationship Id="rId4" Type="http://schemas.openxmlformats.org/officeDocument/2006/relationships/image" Target="../media/image4.png"/><Relationship Id="rId9" Type="http://schemas.openxmlformats.org/officeDocument/2006/relationships/chart" Target="../charts/chart7.xml"/><Relationship Id="rId1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4"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1</xdr:col>
      <xdr:colOff>260252</xdr:colOff>
      <xdr:row>6</xdr:row>
      <xdr:rowOff>16607</xdr:rowOff>
    </xdr:from>
    <xdr:to>
      <xdr:col>3</xdr:col>
      <xdr:colOff>2559050</xdr:colOff>
      <xdr:row>8</xdr:row>
      <xdr:rowOff>114660</xdr:rowOff>
    </xdr:to>
    <xdr:sp macro="" textlink="">
      <xdr:nvSpPr>
        <xdr:cNvPr id="5" name="Text Box 2">
          <a:extLst>
            <a:ext uri="{FF2B5EF4-FFF2-40B4-BE49-F238E27FC236}">
              <a16:creationId xmlns:a16="http://schemas.microsoft.com/office/drawing/2014/main" id="{180A4801-58B6-413D-87DE-2393E6A7D03F}"/>
            </a:ext>
          </a:extLst>
        </xdr:cNvPr>
        <xdr:cNvSpPr txBox="1">
          <a:spLocks noChangeArrowheads="1"/>
        </xdr:cNvSpPr>
      </xdr:nvSpPr>
      <xdr:spPr bwMode="auto">
        <a:xfrm>
          <a:off x="521723" y="1137195"/>
          <a:ext cx="4248621" cy="411818"/>
        </a:xfrm>
        <a:prstGeom prst="rect">
          <a:avLst/>
        </a:prstGeom>
        <a:noFill/>
        <a:ln w="9525">
          <a:noFill/>
          <a:miter lim="800000"/>
          <a:headEnd/>
          <a:tailEnd/>
        </a:ln>
      </xdr:spPr>
      <xdr:txBody>
        <a:bodyPr vertOverflow="clip" wrap="square" lIns="36576" tIns="32004" rIns="0" bIns="0" anchor="t" upright="1"/>
        <a:lstStyle/>
        <a:p>
          <a:pPr algn="l" rtl="0">
            <a:defRPr sz="1000"/>
          </a:pPr>
          <a:r>
            <a:rPr lang="en-IN" sz="1600" b="1" i="0" u="none" strike="noStrike" baseline="0">
              <a:solidFill>
                <a:schemeClr val="tx1">
                  <a:lumMod val="75000"/>
                  <a:lumOff val="25000"/>
                </a:schemeClr>
              </a:solidFill>
              <a:latin typeface="Tw Cen MT" panose="020B0602020104020603" pitchFamily="34" charset="0"/>
              <a:cs typeface="Calibri"/>
            </a:rPr>
            <a:t>Aswini Bajaj</a:t>
          </a:r>
          <a:endParaRPr lang="en-IN" sz="1100" b="0" i="0" u="none" strike="noStrike" baseline="0">
            <a:solidFill>
              <a:schemeClr val="tx1">
                <a:lumMod val="75000"/>
                <a:lumOff val="25000"/>
              </a:schemeClr>
            </a:solidFill>
            <a:latin typeface="Tw Cen MT" panose="020B0602020104020603" pitchFamily="34" charset="0"/>
            <a:cs typeface="Calibri"/>
          </a:endParaRPr>
        </a:p>
        <a:p>
          <a:pPr algn="l" rtl="0">
            <a:defRPr sz="1000"/>
          </a:pPr>
          <a:r>
            <a:rPr lang="en-IN" sz="1050" b="0" i="1" u="none" strike="noStrike" baseline="0">
              <a:solidFill>
                <a:schemeClr val="tx1">
                  <a:lumMod val="50000"/>
                  <a:lumOff val="50000"/>
                </a:schemeClr>
              </a:solidFill>
              <a:latin typeface="Tw Cen MT" panose="020B0602020104020603" pitchFamily="34" charset="0"/>
              <a:cs typeface="Calibri"/>
            </a:rPr>
            <a:t>CA, CS, CFA, FRM, CAIA, CFP</a:t>
          </a:r>
          <a:r>
            <a:rPr lang="en-IN" sz="1050" b="0" i="1" u="none" strike="noStrike" baseline="0">
              <a:solidFill>
                <a:schemeClr val="tx1">
                  <a:lumMod val="50000"/>
                  <a:lumOff val="50000"/>
                </a:schemeClr>
              </a:solidFill>
              <a:latin typeface="Tw Cen MT" panose="020B0602020104020603" pitchFamily="34" charset="0"/>
              <a:ea typeface="+mn-ea"/>
              <a:cs typeface="Calibri"/>
            </a:rPr>
            <a:t>, RV, CIPM, CCRA, CIIB, CIRA, AIM</a:t>
          </a:r>
        </a:p>
      </xdr:txBody>
    </xdr:sp>
    <xdr:clientData/>
  </xdr:twoCellAnchor>
  <xdr:twoCellAnchor>
    <xdr:from>
      <xdr:col>1</xdr:col>
      <xdr:colOff>216835</xdr:colOff>
      <xdr:row>6</xdr:row>
      <xdr:rowOff>30698</xdr:rowOff>
    </xdr:from>
    <xdr:to>
      <xdr:col>3</xdr:col>
      <xdr:colOff>2593496</xdr:colOff>
      <xdr:row>6</xdr:row>
      <xdr:rowOff>30698</xdr:rowOff>
    </xdr:to>
    <xdr:cxnSp macro="">
      <xdr:nvCxnSpPr>
        <xdr:cNvPr id="6" name="Straight Connector 5">
          <a:extLst>
            <a:ext uri="{FF2B5EF4-FFF2-40B4-BE49-F238E27FC236}">
              <a16:creationId xmlns:a16="http://schemas.microsoft.com/office/drawing/2014/main" id="{E230F239-7DBE-4353-A6AB-56F279C7E459}"/>
            </a:ext>
          </a:extLst>
        </xdr:cNvPr>
        <xdr:cNvCxnSpPr/>
      </xdr:nvCxnSpPr>
      <xdr:spPr>
        <a:xfrm>
          <a:off x="478306" y="1151286"/>
          <a:ext cx="432648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248091</xdr:colOff>
      <xdr:row>10</xdr:row>
      <xdr:rowOff>22106</xdr:rowOff>
    </xdr:from>
    <xdr:to>
      <xdr:col>3</xdr:col>
      <xdr:colOff>2572377</xdr:colOff>
      <xdr:row>10</xdr:row>
      <xdr:rowOff>22106</xdr:rowOff>
    </xdr:to>
    <xdr:cxnSp macro="">
      <xdr:nvCxnSpPr>
        <xdr:cNvPr id="7" name="Straight Connector 6">
          <a:extLst>
            <a:ext uri="{FF2B5EF4-FFF2-40B4-BE49-F238E27FC236}">
              <a16:creationId xmlns:a16="http://schemas.microsoft.com/office/drawing/2014/main" id="{3E87C980-AC01-40C4-AA8A-E733E08C4F09}"/>
            </a:ext>
          </a:extLst>
        </xdr:cNvPr>
        <xdr:cNvCxnSpPr/>
      </xdr:nvCxnSpPr>
      <xdr:spPr>
        <a:xfrm>
          <a:off x="509562" y="1882282"/>
          <a:ext cx="427410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216835</xdr:colOff>
      <xdr:row>6</xdr:row>
      <xdr:rowOff>14858</xdr:rowOff>
    </xdr:from>
    <xdr:to>
      <xdr:col>3</xdr:col>
      <xdr:colOff>2593496</xdr:colOff>
      <xdr:row>6</xdr:row>
      <xdr:rowOff>14858</xdr:rowOff>
    </xdr:to>
    <xdr:cxnSp macro="">
      <xdr:nvCxnSpPr>
        <xdr:cNvPr id="8" name="Straight Connector 7">
          <a:extLst>
            <a:ext uri="{FF2B5EF4-FFF2-40B4-BE49-F238E27FC236}">
              <a16:creationId xmlns:a16="http://schemas.microsoft.com/office/drawing/2014/main" id="{CC4C0E14-731C-4210-803E-3662535CEF94}"/>
            </a:ext>
          </a:extLst>
        </xdr:cNvPr>
        <xdr:cNvCxnSpPr/>
      </xdr:nvCxnSpPr>
      <xdr:spPr>
        <a:xfrm>
          <a:off x="478306" y="1135446"/>
          <a:ext cx="432648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116957</xdr:colOff>
      <xdr:row>2</xdr:row>
      <xdr:rowOff>95977</xdr:rowOff>
    </xdr:from>
    <xdr:to>
      <xdr:col>2</xdr:col>
      <xdr:colOff>168370</xdr:colOff>
      <xdr:row>6</xdr:row>
      <xdr:rowOff>32495</xdr:rowOff>
    </xdr:to>
    <xdr:pic>
      <xdr:nvPicPr>
        <xdr:cNvPr id="9" name="Picture 8">
          <a:extLst>
            <a:ext uri="{FF2B5EF4-FFF2-40B4-BE49-F238E27FC236}">
              <a16:creationId xmlns:a16="http://schemas.microsoft.com/office/drawing/2014/main" id="{04FAAB88-2E0F-441D-888C-45546FFA1F30}"/>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10000" b="90000" l="10000" r="90000"/>
                  </a14:imgEffect>
                </a14:imgLayer>
              </a14:imgProps>
            </a:ext>
          </a:extLst>
        </a:blip>
        <a:stretch>
          <a:fillRect/>
        </a:stretch>
      </xdr:blipFill>
      <xdr:spPr>
        <a:xfrm>
          <a:off x="378428" y="559153"/>
          <a:ext cx="880648" cy="676107"/>
        </a:xfrm>
        <a:prstGeom prst="rect">
          <a:avLst/>
        </a:prstGeom>
      </xdr:spPr>
    </xdr:pic>
    <xdr:clientData/>
  </xdr:twoCellAnchor>
  <xdr:twoCellAnchor editAs="oneCell">
    <xdr:from>
      <xdr:col>1</xdr:col>
      <xdr:colOff>260128</xdr:colOff>
      <xdr:row>9</xdr:row>
      <xdr:rowOff>35260</xdr:rowOff>
    </xdr:from>
    <xdr:to>
      <xdr:col>1</xdr:col>
      <xdr:colOff>381804</xdr:colOff>
      <xdr:row>9</xdr:row>
      <xdr:rowOff>151889</xdr:rowOff>
    </xdr:to>
    <xdr:pic>
      <xdr:nvPicPr>
        <xdr:cNvPr id="10" name="Picture 9">
          <a:extLst>
            <a:ext uri="{FF2B5EF4-FFF2-40B4-BE49-F238E27FC236}">
              <a16:creationId xmlns:a16="http://schemas.microsoft.com/office/drawing/2014/main" id="{AE19794D-A437-1198-DA57-DEF80EA92B1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21599" y="1716142"/>
          <a:ext cx="121676" cy="116629"/>
        </a:xfrm>
        <a:prstGeom prst="rect">
          <a:avLst/>
        </a:prstGeom>
      </xdr:spPr>
    </xdr:pic>
    <xdr:clientData/>
  </xdr:twoCellAnchor>
  <xdr:twoCellAnchor>
    <xdr:from>
      <xdr:col>1</xdr:col>
      <xdr:colOff>361456</xdr:colOff>
      <xdr:row>8</xdr:row>
      <xdr:rowOff>241859</xdr:rowOff>
    </xdr:from>
    <xdr:to>
      <xdr:col>3</xdr:col>
      <xdr:colOff>635000</xdr:colOff>
      <xdr:row>10</xdr:row>
      <xdr:rowOff>26314</xdr:rowOff>
    </xdr:to>
    <xdr:sp macro="" textlink="">
      <xdr:nvSpPr>
        <xdr:cNvPr id="11" name="Text Box 2">
          <a:hlinkClick xmlns:r="http://schemas.openxmlformats.org/officeDocument/2006/relationships" r:id="rId4"/>
          <a:extLst>
            <a:ext uri="{FF2B5EF4-FFF2-40B4-BE49-F238E27FC236}">
              <a16:creationId xmlns:a16="http://schemas.microsoft.com/office/drawing/2014/main" id="{8688C1D7-1BB3-89F9-F35C-18BCC000D1C8}"/>
            </a:ext>
          </a:extLst>
        </xdr:cNvPr>
        <xdr:cNvSpPr txBox="1">
          <a:spLocks noChangeArrowheads="1"/>
        </xdr:cNvSpPr>
      </xdr:nvSpPr>
      <xdr:spPr bwMode="auto">
        <a:xfrm>
          <a:off x="622927" y="1676212"/>
          <a:ext cx="2223367" cy="210278"/>
        </a:xfrm>
        <a:prstGeom prst="rect">
          <a:avLst/>
        </a:prstGeom>
        <a:noFill/>
        <a:ln w="9525">
          <a:noFill/>
          <a:miter lim="800000"/>
          <a:headEnd/>
          <a:tailEnd/>
        </a:ln>
      </xdr:spPr>
      <xdr:txBody>
        <a:bodyPr vertOverflow="clip" wrap="square" lIns="36576" tIns="32004" rIns="0" bIns="0" anchor="t" upright="1"/>
        <a:lstStyle/>
        <a:p>
          <a:pPr algn="l" rtl="0">
            <a:defRPr sz="1000"/>
          </a:pPr>
          <a:r>
            <a:rPr lang="en-IN" sz="1000" b="0" i="0" u="none" strike="noStrike" baseline="0">
              <a:solidFill>
                <a:schemeClr val="tx1">
                  <a:lumMod val="75000"/>
                  <a:lumOff val="25000"/>
                </a:schemeClr>
              </a:solidFill>
              <a:latin typeface="Tw Cen MT" panose="020B0602020104020603" pitchFamily="34" charset="0"/>
              <a:cs typeface="Calibri"/>
            </a:rPr>
            <a:t>classes.aswinibajaj.com</a:t>
          </a:r>
        </a:p>
      </xdr:txBody>
    </xdr:sp>
    <xdr:clientData/>
  </xdr:twoCellAnchor>
  <xdr:twoCellAnchor>
    <xdr:from>
      <xdr:col>3</xdr:col>
      <xdr:colOff>1027017</xdr:colOff>
      <xdr:row>8</xdr:row>
      <xdr:rowOff>241860</xdr:rowOff>
    </xdr:from>
    <xdr:to>
      <xdr:col>3</xdr:col>
      <xdr:colOff>2501900</xdr:colOff>
      <xdr:row>9</xdr:row>
      <xdr:rowOff>167509</xdr:rowOff>
    </xdr:to>
    <xdr:sp macro="" textlink="">
      <xdr:nvSpPr>
        <xdr:cNvPr id="12" name="Text Box 2">
          <a:hlinkClick xmlns:r="http://schemas.openxmlformats.org/officeDocument/2006/relationships" r:id="rId5"/>
          <a:extLst>
            <a:ext uri="{FF2B5EF4-FFF2-40B4-BE49-F238E27FC236}">
              <a16:creationId xmlns:a16="http://schemas.microsoft.com/office/drawing/2014/main" id="{E529D2FC-31B7-7533-A323-CA308CF94B5F}"/>
            </a:ext>
          </a:extLst>
        </xdr:cNvPr>
        <xdr:cNvSpPr txBox="1">
          <a:spLocks noChangeArrowheads="1"/>
        </xdr:cNvSpPr>
      </xdr:nvSpPr>
      <xdr:spPr bwMode="auto">
        <a:xfrm>
          <a:off x="3238311" y="1676213"/>
          <a:ext cx="1474883" cy="172178"/>
        </a:xfrm>
        <a:prstGeom prst="rect">
          <a:avLst/>
        </a:prstGeom>
        <a:noFill/>
        <a:ln w="9525">
          <a:noFill/>
          <a:miter lim="800000"/>
          <a:headEnd/>
          <a:tailEnd/>
        </a:ln>
      </xdr:spPr>
      <xdr:txBody>
        <a:bodyPr vertOverflow="clip" wrap="square" lIns="36576" tIns="32004" rIns="0" bIns="0" anchor="t" upright="1"/>
        <a:lstStyle/>
        <a:p>
          <a:pPr marL="0" indent="0" algn="r" rtl="0">
            <a:defRPr sz="1000"/>
          </a:pPr>
          <a:r>
            <a:rPr lang="en-IN" sz="1000" b="0" i="0" u="none" strike="noStrike" baseline="0">
              <a:solidFill>
                <a:schemeClr val="tx1">
                  <a:lumMod val="75000"/>
                  <a:lumOff val="25000"/>
                </a:schemeClr>
              </a:solidFill>
              <a:latin typeface="Tw Cen MT" panose="020B0602020104020603" pitchFamily="34" charset="0"/>
              <a:ea typeface="+mn-ea"/>
              <a:cs typeface="Calibri"/>
            </a:rPr>
            <a:t>+91  98317 79747</a:t>
          </a:r>
        </a:p>
        <a:p>
          <a:pPr marL="0" indent="0" algn="r" rtl="0">
            <a:defRPr sz="1000"/>
          </a:pPr>
          <a:r>
            <a:rPr lang="en-IN" sz="1000" b="0" i="0" u="none" strike="noStrike" baseline="0">
              <a:solidFill>
                <a:schemeClr val="tx1">
                  <a:lumMod val="75000"/>
                  <a:lumOff val="25000"/>
                </a:schemeClr>
              </a:solidFill>
              <a:latin typeface="Tw Cen MT" panose="020B0602020104020603" pitchFamily="34" charset="0"/>
              <a:ea typeface="+mn-ea"/>
              <a:cs typeface="Calibri"/>
            </a:rPr>
            <a:t> </a:t>
          </a:r>
        </a:p>
      </xdr:txBody>
    </xdr:sp>
    <xdr:clientData/>
  </xdr:twoCellAnchor>
  <xdr:twoCellAnchor editAs="oneCell">
    <xdr:from>
      <xdr:col>3</xdr:col>
      <xdr:colOff>1300520</xdr:colOff>
      <xdr:row>9</xdr:row>
      <xdr:rowOff>17208</xdr:rowOff>
    </xdr:from>
    <xdr:to>
      <xdr:col>3</xdr:col>
      <xdr:colOff>1465438</xdr:colOff>
      <xdr:row>10</xdr:row>
      <xdr:rowOff>5101</xdr:rowOff>
    </xdr:to>
    <xdr:pic>
      <xdr:nvPicPr>
        <xdr:cNvPr id="14" name="Picture 13">
          <a:extLst>
            <a:ext uri="{FF2B5EF4-FFF2-40B4-BE49-F238E27FC236}">
              <a16:creationId xmlns:a16="http://schemas.microsoft.com/office/drawing/2014/main" id="{02F9292E-109C-BF50-E66E-A5767D6462B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11814" y="1698090"/>
          <a:ext cx="164918" cy="167187"/>
        </a:xfrm>
        <a:prstGeom prst="rect">
          <a:avLst/>
        </a:prstGeom>
      </xdr:spPr>
    </xdr:pic>
    <xdr:clientData/>
  </xdr:twoCellAnchor>
  <xdr:twoCellAnchor>
    <xdr:from>
      <xdr:col>1</xdr:col>
      <xdr:colOff>11205</xdr:colOff>
      <xdr:row>13</xdr:row>
      <xdr:rowOff>68683</xdr:rowOff>
    </xdr:from>
    <xdr:to>
      <xdr:col>6</xdr:col>
      <xdr:colOff>11206</xdr:colOff>
      <xdr:row>17</xdr:row>
      <xdr:rowOff>146050</xdr:rowOff>
    </xdr:to>
    <xdr:sp macro="" textlink="">
      <xdr:nvSpPr>
        <xdr:cNvPr id="13" name="TextBox 12">
          <a:extLst>
            <a:ext uri="{FF2B5EF4-FFF2-40B4-BE49-F238E27FC236}">
              <a16:creationId xmlns:a16="http://schemas.microsoft.com/office/drawing/2014/main" id="{1966664F-675C-4A32-8D92-8F310B5D0AD9}"/>
            </a:ext>
          </a:extLst>
        </xdr:cNvPr>
        <xdr:cNvSpPr txBox="1"/>
      </xdr:nvSpPr>
      <xdr:spPr>
        <a:xfrm>
          <a:off x="271555" y="2526133"/>
          <a:ext cx="10566401" cy="1341017"/>
        </a:xfrm>
        <a:prstGeom prst="rect">
          <a:avLst/>
        </a:prstGeom>
        <a:solidFill>
          <a:srgbClr val="FFF3EB"/>
        </a:solidFill>
        <a:ln>
          <a:noFill/>
        </a:ln>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lstStyle/>
        <a:p>
          <a:r>
            <a:rPr lang="en-IN" sz="1400" b="1" i="1">
              <a:solidFill>
                <a:schemeClr val="accent2"/>
              </a:solidFill>
              <a:effectLst/>
              <a:latin typeface="Tw Cen MT" panose="020B0602020104020603" pitchFamily="34" charset="0"/>
              <a:ea typeface="+mn-ea"/>
              <a:cs typeface="+mn-cs"/>
            </a:rPr>
            <a:t>The harder you Work, The Luckier you Get!</a:t>
          </a:r>
          <a:endParaRPr lang="en-IN" sz="1400">
            <a:solidFill>
              <a:schemeClr val="accent2"/>
            </a:solidFill>
            <a:effectLst/>
            <a:latin typeface="Tw Cen MT" panose="020B0602020104020603" pitchFamily="34" charset="0"/>
            <a:ea typeface="+mn-ea"/>
            <a:cs typeface="+mn-cs"/>
          </a:endParaRPr>
        </a:p>
        <a:p>
          <a:endParaRPr lang="en-IN" sz="400" b="0" i="1">
            <a:solidFill>
              <a:schemeClr val="tx1">
                <a:lumMod val="50000"/>
                <a:lumOff val="50000"/>
              </a:schemeClr>
            </a:solidFill>
            <a:effectLst/>
            <a:latin typeface="Tw Cen MT" panose="020B0602020104020603" pitchFamily="34" charset="0"/>
            <a:ea typeface="+mn-ea"/>
            <a:cs typeface="+mn-cs"/>
          </a:endParaRPr>
        </a:p>
        <a:p>
          <a:r>
            <a:rPr lang="en-IN" sz="1200" b="0" i="1">
              <a:solidFill>
                <a:schemeClr val="tx1">
                  <a:lumMod val="50000"/>
                  <a:lumOff val="50000"/>
                </a:schemeClr>
              </a:solidFill>
              <a:effectLst/>
              <a:latin typeface="Tw Cen MT" panose="020B0602020104020603" pitchFamily="34" charset="0"/>
              <a:ea typeface="+mn-ea"/>
              <a:cs typeface="+mn-cs"/>
            </a:rPr>
            <a:t>Please see the details of the column headings of the ‘Input Sheet’. Make sure you have covered the ‘How to Study and Practice’ Lecture. It is very important as it has all the details on how to study and what all to practice. It is important that you follow instructions and all the mentoring provided very attentively and not miss out on the instructions.</a:t>
          </a:r>
        </a:p>
        <a:p>
          <a:endParaRPr lang="en-IN" sz="400" b="0">
            <a:solidFill>
              <a:schemeClr val="tx1">
                <a:lumMod val="50000"/>
                <a:lumOff val="50000"/>
              </a:schemeClr>
            </a:solidFill>
            <a:effectLst/>
            <a:latin typeface="Tw Cen MT" panose="020B0602020104020603" pitchFamily="34" charset="0"/>
            <a:ea typeface="+mn-ea"/>
            <a:cs typeface="+mn-cs"/>
          </a:endParaRPr>
        </a:p>
        <a:p>
          <a:r>
            <a:rPr lang="en-IN" sz="1200" b="0" i="1">
              <a:solidFill>
                <a:schemeClr val="tx1">
                  <a:lumMod val="50000"/>
                  <a:lumOff val="50000"/>
                </a:schemeClr>
              </a:solidFill>
              <a:effectLst/>
              <a:latin typeface="Tw Cen MT" panose="020B0602020104020603" pitchFamily="34" charset="0"/>
              <a:ea typeface="+mn-ea"/>
              <a:cs typeface="+mn-cs"/>
            </a:rPr>
            <a:t>You may keep updating your progress in the ‘Input Sheet’ and view a summary and target based on that in the next sheets. Mock tests are conducted across the entire syllabus and hence not included in this performance tracker. It is conducted between 10-20 days before the exam and al details regarding the same shall be provided via WhatsApp.</a:t>
          </a:r>
        </a:p>
        <a:p>
          <a:endParaRPr lang="en-IN" sz="400" b="0">
            <a:solidFill>
              <a:schemeClr val="dk1"/>
            </a:solidFill>
            <a:effectLst/>
            <a:latin typeface="Tw Cen MT" panose="020B0602020104020603" pitchFamily="34" charset="0"/>
            <a:ea typeface="+mn-ea"/>
            <a:cs typeface="+mn-cs"/>
          </a:endParaRPr>
        </a:p>
        <a:p>
          <a:r>
            <a:rPr lang="en-IN" sz="1400" b="1" i="1">
              <a:solidFill>
                <a:schemeClr val="accent2"/>
              </a:solidFill>
              <a:effectLst/>
              <a:latin typeface="Tw Cen MT" panose="020B0602020104020603" pitchFamily="34" charset="0"/>
              <a:ea typeface="+mn-ea"/>
              <a:cs typeface="+mn-cs"/>
            </a:rPr>
            <a:t>-Aswini Bajaj</a:t>
          </a:r>
          <a:endParaRPr lang="en-IN" sz="1400">
            <a:solidFill>
              <a:schemeClr val="accent2"/>
            </a:solidFill>
            <a:effectLst/>
            <a:latin typeface="Tw Cen MT" panose="020B0602020104020603" pitchFamily="34" charset="0"/>
            <a:ea typeface="+mn-ea"/>
            <a:cs typeface="+mn-cs"/>
          </a:endParaRPr>
        </a:p>
      </xdr:txBody>
    </xdr:sp>
    <xdr:clientData/>
  </xdr:twoCellAnchor>
  <xdr:twoCellAnchor>
    <xdr:from>
      <xdr:col>3</xdr:col>
      <xdr:colOff>2965824</xdr:colOff>
      <xdr:row>9</xdr:row>
      <xdr:rowOff>58792</xdr:rowOff>
    </xdr:from>
    <xdr:to>
      <xdr:col>5</xdr:col>
      <xdr:colOff>2719293</xdr:colOff>
      <xdr:row>10</xdr:row>
      <xdr:rowOff>82178</xdr:rowOff>
    </xdr:to>
    <xdr:sp macro="" textlink="">
      <xdr:nvSpPr>
        <xdr:cNvPr id="2" name="TextBox 1">
          <a:hlinkClick xmlns:r="http://schemas.openxmlformats.org/officeDocument/2006/relationships" r:id="rId7"/>
          <a:extLst>
            <a:ext uri="{FF2B5EF4-FFF2-40B4-BE49-F238E27FC236}">
              <a16:creationId xmlns:a16="http://schemas.microsoft.com/office/drawing/2014/main" id="{34D58339-8798-7A0C-F5C6-32941A2FAF5E}"/>
            </a:ext>
          </a:extLst>
        </xdr:cNvPr>
        <xdr:cNvSpPr txBox="1"/>
      </xdr:nvSpPr>
      <xdr:spPr>
        <a:xfrm>
          <a:off x="5177118" y="1739674"/>
          <a:ext cx="5132293" cy="202680"/>
        </a:xfrm>
        <a:prstGeom prst="rect">
          <a:avLst/>
        </a:prstGeom>
        <a:solidFill>
          <a:schemeClr val="bg1">
            <a:lumMod val="95000"/>
          </a:schemeClr>
        </a:solidFill>
        <a:ln w="9525" cmpd="sng">
          <a:solidFill>
            <a:sysClr val="windowText" lastClr="000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IN" sz="1200">
              <a:latin typeface="Tw Cen MT" panose="020B0602020104020603" pitchFamily="34" charset="0"/>
            </a:rPr>
            <a:t>Click</a:t>
          </a:r>
          <a:r>
            <a:rPr lang="en-IN" sz="1200" baseline="0">
              <a:latin typeface="Tw Cen MT" panose="020B0602020104020603" pitchFamily="34" charset="0"/>
            </a:rPr>
            <a:t> here to Learn how to use this tracker</a:t>
          </a:r>
          <a:endParaRPr lang="en-IN" sz="1200">
            <a:latin typeface="Tw Cen MT" panose="020B0602020104020603"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90715</xdr:colOff>
      <xdr:row>6</xdr:row>
      <xdr:rowOff>36286</xdr:rowOff>
    </xdr:from>
    <xdr:to>
      <xdr:col>17</xdr:col>
      <xdr:colOff>444500</xdr:colOff>
      <xdr:row>28</xdr:row>
      <xdr:rowOff>123266</xdr:rowOff>
    </xdr:to>
    <xdr:graphicFrame macro="">
      <xdr:nvGraphicFramePr>
        <xdr:cNvPr id="2" name="Chart 1">
          <a:extLst>
            <a:ext uri="{FF2B5EF4-FFF2-40B4-BE49-F238E27FC236}">
              <a16:creationId xmlns:a16="http://schemas.microsoft.com/office/drawing/2014/main" id="{A4C7B6D6-7661-4CC7-A5B2-D5F9AE8F1B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628650</xdr:colOff>
      <xdr:row>6</xdr:row>
      <xdr:rowOff>126891</xdr:rowOff>
    </xdr:from>
    <xdr:to>
      <xdr:col>18</xdr:col>
      <xdr:colOff>44450</xdr:colOff>
      <xdr:row>14</xdr:row>
      <xdr:rowOff>59015</xdr:rowOff>
    </xdr:to>
    <xdr:graphicFrame macro="">
      <xdr:nvGraphicFramePr>
        <xdr:cNvPr id="33" name="Chart 32">
          <a:extLst>
            <a:ext uri="{FF2B5EF4-FFF2-40B4-BE49-F238E27FC236}">
              <a16:creationId xmlns:a16="http://schemas.microsoft.com/office/drawing/2014/main" id="{826D63A1-DEFD-4BF1-A618-DFD3377D38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205</xdr:row>
      <xdr:rowOff>90767</xdr:rowOff>
    </xdr:from>
    <xdr:to>
      <xdr:col>15</xdr:col>
      <xdr:colOff>0</xdr:colOff>
      <xdr:row>212</xdr:row>
      <xdr:rowOff>245408</xdr:rowOff>
    </xdr:to>
    <xdr:graphicFrame macro="">
      <xdr:nvGraphicFramePr>
        <xdr:cNvPr id="5" name="Chart 4">
          <a:extLst>
            <a:ext uri="{FF2B5EF4-FFF2-40B4-BE49-F238E27FC236}">
              <a16:creationId xmlns:a16="http://schemas.microsoft.com/office/drawing/2014/main" id="{8CC435D2-5CB2-4865-821A-57A48A15F1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25</xdr:col>
      <xdr:colOff>165099</xdr:colOff>
      <xdr:row>6</xdr:row>
      <xdr:rowOff>38100</xdr:rowOff>
    </xdr:to>
    <xdr:graphicFrame macro="">
      <xdr:nvGraphicFramePr>
        <xdr:cNvPr id="6" name="Chart 5">
          <a:extLst>
            <a:ext uri="{FF2B5EF4-FFF2-40B4-BE49-F238E27FC236}">
              <a16:creationId xmlns:a16="http://schemas.microsoft.com/office/drawing/2014/main" id="{9BBC9EDB-CBF1-47A1-9D88-4B97E027C1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8</xdr:col>
      <xdr:colOff>100769</xdr:colOff>
      <xdr:row>4</xdr:row>
      <xdr:rowOff>53838</xdr:rowOff>
    </xdr:from>
    <xdr:ext cx="536712" cy="536712"/>
    <xdr:pic>
      <xdr:nvPicPr>
        <xdr:cNvPr id="7" name="Picture 6">
          <a:extLst>
            <a:ext uri="{FF2B5EF4-FFF2-40B4-BE49-F238E27FC236}">
              <a16:creationId xmlns:a16="http://schemas.microsoft.com/office/drawing/2014/main" id="{117C68D0-D930-4169-BA0C-EEAC51EC3587}"/>
            </a:ext>
          </a:extLst>
        </xdr:cNvPr>
        <xdr:cNvPicPr>
          <a:picLocks noChangeAspect="1"/>
        </xdr:cNvPicPr>
      </xdr:nvPicPr>
      <xdr:blipFill>
        <a:blip xmlns:r="http://schemas.openxmlformats.org/officeDocument/2006/relationships" r:embed="rId4" cstate="print">
          <a:alphaModFix/>
          <a:extLst>
            <a:ext uri="{28A0092B-C50C-407E-A947-70E740481C1C}">
              <a14:useLocalDpi xmlns:a14="http://schemas.microsoft.com/office/drawing/2010/main" val="0"/>
            </a:ext>
          </a:extLst>
        </a:blip>
        <a:stretch>
          <a:fillRect/>
        </a:stretch>
      </xdr:blipFill>
      <xdr:spPr>
        <a:xfrm>
          <a:off x="3034469" y="599938"/>
          <a:ext cx="536712" cy="536712"/>
        </a:xfrm>
        <a:prstGeom prst="rect">
          <a:avLst/>
        </a:prstGeom>
      </xdr:spPr>
    </xdr:pic>
    <xdr:clientData/>
  </xdr:oneCellAnchor>
  <xdr:twoCellAnchor editAs="oneCell">
    <xdr:from>
      <xdr:col>1</xdr:col>
      <xdr:colOff>0</xdr:colOff>
      <xdr:row>35</xdr:row>
      <xdr:rowOff>23664</xdr:rowOff>
    </xdr:from>
    <xdr:to>
      <xdr:col>5</xdr:col>
      <xdr:colOff>19050</xdr:colOff>
      <xdr:row>46</xdr:row>
      <xdr:rowOff>157132</xdr:rowOff>
    </xdr:to>
    <mc:AlternateContent xmlns:mc="http://schemas.openxmlformats.org/markup-compatibility/2006" xmlns:a14="http://schemas.microsoft.com/office/drawing/2010/main">
      <mc:Choice Requires="a14">
        <xdr:graphicFrame macro="">
          <xdr:nvGraphicFramePr>
            <xdr:cNvPr id="14" name="Subject 2">
              <a:extLst>
                <a:ext uri="{FF2B5EF4-FFF2-40B4-BE49-F238E27FC236}">
                  <a16:creationId xmlns:a16="http://schemas.microsoft.com/office/drawing/2014/main" id="{45C3588F-3530-4A47-BE97-705893B1B2C8}"/>
                </a:ext>
              </a:extLst>
            </xdr:cNvPr>
            <xdr:cNvGraphicFramePr/>
          </xdr:nvGraphicFramePr>
          <xdr:xfrm>
            <a:off x="0" y="0"/>
            <a:ext cx="0" cy="0"/>
          </xdr:xfrm>
          <a:graphic>
            <a:graphicData uri="http://schemas.microsoft.com/office/drawing/2010/slicer">
              <sle:slicer xmlns:sle="http://schemas.microsoft.com/office/drawing/2010/slicer" name="Subject 2"/>
            </a:graphicData>
          </a:graphic>
        </xdr:graphicFrame>
      </mc:Choice>
      <mc:Fallback xmlns="">
        <xdr:sp macro="" textlink="">
          <xdr:nvSpPr>
            <xdr:cNvPr id="0" name=""/>
            <xdr:cNvSpPr>
              <a:spLocks noTextEdit="1"/>
            </xdr:cNvSpPr>
          </xdr:nvSpPr>
          <xdr:spPr>
            <a:xfrm>
              <a:off x="0" y="6594826"/>
              <a:ext cx="1683373" cy="2055950"/>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5</xdr:col>
      <xdr:colOff>163634</xdr:colOff>
      <xdr:row>12</xdr:row>
      <xdr:rowOff>125878</xdr:rowOff>
    </xdr:from>
    <xdr:to>
      <xdr:col>9</xdr:col>
      <xdr:colOff>186419</xdr:colOff>
      <xdr:row>25</xdr:row>
      <xdr:rowOff>17929</xdr:rowOff>
    </xdr:to>
    <xdr:graphicFrame macro="">
      <xdr:nvGraphicFramePr>
        <xdr:cNvPr id="15" name="Chart 14">
          <a:extLst>
            <a:ext uri="{FF2B5EF4-FFF2-40B4-BE49-F238E27FC236}">
              <a16:creationId xmlns:a16="http://schemas.microsoft.com/office/drawing/2014/main" id="{501CC012-AEE9-4721-9492-FACAD1F041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69439</xdr:colOff>
      <xdr:row>12</xdr:row>
      <xdr:rowOff>133836</xdr:rowOff>
    </xdr:from>
    <xdr:to>
      <xdr:col>13</xdr:col>
      <xdr:colOff>254589</xdr:colOff>
      <xdr:row>25</xdr:row>
      <xdr:rowOff>123825</xdr:rowOff>
    </xdr:to>
    <xdr:graphicFrame macro="">
      <xdr:nvGraphicFramePr>
        <xdr:cNvPr id="17" name="Chart 16">
          <a:extLst>
            <a:ext uri="{FF2B5EF4-FFF2-40B4-BE49-F238E27FC236}">
              <a16:creationId xmlns:a16="http://schemas.microsoft.com/office/drawing/2014/main" id="{416DEAD4-9EB7-1924-E6EB-3C6DA34C0D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17</xdr:col>
      <xdr:colOff>149226</xdr:colOff>
      <xdr:row>18</xdr:row>
      <xdr:rowOff>149224</xdr:rowOff>
    </xdr:from>
    <xdr:to>
      <xdr:col>18</xdr:col>
      <xdr:colOff>76351</xdr:colOff>
      <xdr:row>20</xdr:row>
      <xdr:rowOff>92224</xdr:rowOff>
    </xdr:to>
    <xdr:pic>
      <xdr:nvPicPr>
        <xdr:cNvPr id="12" name="Picture 11">
          <a:extLst>
            <a:ext uri="{FF2B5EF4-FFF2-40B4-BE49-F238E27FC236}">
              <a16:creationId xmlns:a16="http://schemas.microsoft.com/office/drawing/2014/main" id="{424AEE1C-E5C2-1B25-B2DF-57C2A57FB259}"/>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87050" y="3600636"/>
          <a:ext cx="338007" cy="331470"/>
        </a:xfrm>
        <a:prstGeom prst="rect">
          <a:avLst/>
        </a:prstGeom>
      </xdr:spPr>
    </xdr:pic>
    <xdr:clientData/>
  </xdr:twoCellAnchor>
  <xdr:twoCellAnchor editAs="oneCell">
    <xdr:from>
      <xdr:col>13</xdr:col>
      <xdr:colOff>42211</xdr:colOff>
      <xdr:row>18</xdr:row>
      <xdr:rowOff>165100</xdr:rowOff>
    </xdr:from>
    <xdr:to>
      <xdr:col>14</xdr:col>
      <xdr:colOff>713</xdr:colOff>
      <xdr:row>20</xdr:row>
      <xdr:rowOff>108100</xdr:rowOff>
    </xdr:to>
    <xdr:pic>
      <xdr:nvPicPr>
        <xdr:cNvPr id="16" name="Picture 15">
          <a:extLst>
            <a:ext uri="{FF2B5EF4-FFF2-40B4-BE49-F238E27FC236}">
              <a16:creationId xmlns:a16="http://schemas.microsoft.com/office/drawing/2014/main" id="{1C531CE3-E6F7-5286-E3D6-3F11625E22F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600329" y="3616512"/>
          <a:ext cx="360232" cy="331470"/>
        </a:xfrm>
        <a:prstGeom prst="rect">
          <a:avLst/>
        </a:prstGeom>
      </xdr:spPr>
    </xdr:pic>
    <xdr:clientData/>
  </xdr:twoCellAnchor>
  <xdr:twoCellAnchor>
    <xdr:from>
      <xdr:col>4</xdr:col>
      <xdr:colOff>306570</xdr:colOff>
      <xdr:row>34</xdr:row>
      <xdr:rowOff>86277</xdr:rowOff>
    </xdr:from>
    <xdr:to>
      <xdr:col>8</xdr:col>
      <xdr:colOff>713455</xdr:colOff>
      <xdr:row>47</xdr:row>
      <xdr:rowOff>31744</xdr:rowOff>
    </xdr:to>
    <xdr:graphicFrame macro="">
      <xdr:nvGraphicFramePr>
        <xdr:cNvPr id="20" name="Chart 19">
          <a:extLst>
            <a:ext uri="{FF2B5EF4-FFF2-40B4-BE49-F238E27FC236}">
              <a16:creationId xmlns:a16="http://schemas.microsoft.com/office/drawing/2014/main" id="{04C9773B-7341-4695-89CD-7693835C09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54451</xdr:colOff>
      <xdr:row>34</xdr:row>
      <xdr:rowOff>79927</xdr:rowOff>
    </xdr:from>
    <xdr:to>
      <xdr:col>12</xdr:col>
      <xdr:colOff>296235</xdr:colOff>
      <xdr:row>47</xdr:row>
      <xdr:rowOff>31744</xdr:rowOff>
    </xdr:to>
    <xdr:graphicFrame macro="">
      <xdr:nvGraphicFramePr>
        <xdr:cNvPr id="21" name="Chart 20">
          <a:extLst>
            <a:ext uri="{FF2B5EF4-FFF2-40B4-BE49-F238E27FC236}">
              <a16:creationId xmlns:a16="http://schemas.microsoft.com/office/drawing/2014/main" id="{7E4AE8E4-1ADA-4B8F-BE5A-474DF86569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10</xdr:col>
      <xdr:colOff>492986</xdr:colOff>
      <xdr:row>34</xdr:row>
      <xdr:rowOff>86277</xdr:rowOff>
    </xdr:from>
    <xdr:to>
      <xdr:col>15</xdr:col>
      <xdr:colOff>1246</xdr:colOff>
      <xdr:row>47</xdr:row>
      <xdr:rowOff>31744</xdr:rowOff>
    </xdr:to>
    <xdr:graphicFrame macro="">
      <xdr:nvGraphicFramePr>
        <xdr:cNvPr id="22" name="Chart 21">
          <a:extLst>
            <a:ext uri="{FF2B5EF4-FFF2-40B4-BE49-F238E27FC236}">
              <a16:creationId xmlns:a16="http://schemas.microsoft.com/office/drawing/2014/main" id="{67F2CA05-E092-4A38-B56B-576DE6DB4F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14</xdr:col>
      <xdr:colOff>96683</xdr:colOff>
      <xdr:row>34</xdr:row>
      <xdr:rowOff>86277</xdr:rowOff>
    </xdr:from>
    <xdr:to>
      <xdr:col>18</xdr:col>
      <xdr:colOff>540287</xdr:colOff>
      <xdr:row>47</xdr:row>
      <xdr:rowOff>31744</xdr:rowOff>
    </xdr:to>
    <xdr:graphicFrame macro="">
      <xdr:nvGraphicFramePr>
        <xdr:cNvPr id="23" name="Chart 22">
          <a:extLst>
            <a:ext uri="{FF2B5EF4-FFF2-40B4-BE49-F238E27FC236}">
              <a16:creationId xmlns:a16="http://schemas.microsoft.com/office/drawing/2014/main" id="{165B5498-2D1D-41A1-A3A7-11C2313307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17</xdr:col>
      <xdr:colOff>300268</xdr:colOff>
      <xdr:row>34</xdr:row>
      <xdr:rowOff>86277</xdr:rowOff>
    </xdr:from>
    <xdr:to>
      <xdr:col>22</xdr:col>
      <xdr:colOff>196849</xdr:colOff>
      <xdr:row>47</xdr:row>
      <xdr:rowOff>31744</xdr:rowOff>
    </xdr:to>
    <xdr:graphicFrame macro="">
      <xdr:nvGraphicFramePr>
        <xdr:cNvPr id="24" name="Chart 23">
          <a:extLst>
            <a:ext uri="{FF2B5EF4-FFF2-40B4-BE49-F238E27FC236}">
              <a16:creationId xmlns:a16="http://schemas.microsoft.com/office/drawing/2014/main" id="{5D1CECD3-417F-4459-97DB-8157941AFD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xdr:col>
      <xdr:colOff>134846</xdr:colOff>
      <xdr:row>28</xdr:row>
      <xdr:rowOff>272910</xdr:rowOff>
    </xdr:from>
    <xdr:to>
      <xdr:col>6</xdr:col>
      <xdr:colOff>602846</xdr:colOff>
      <xdr:row>28</xdr:row>
      <xdr:rowOff>272910</xdr:rowOff>
    </xdr:to>
    <xdr:cxnSp macro="">
      <xdr:nvCxnSpPr>
        <xdr:cNvPr id="3" name="Straight Connector 2">
          <a:extLst>
            <a:ext uri="{FF2B5EF4-FFF2-40B4-BE49-F238E27FC236}">
              <a16:creationId xmlns:a16="http://schemas.microsoft.com/office/drawing/2014/main" id="{2ECE3706-FC85-ED01-E0D3-2FA1C974449B}"/>
            </a:ext>
          </a:extLst>
        </xdr:cNvPr>
        <xdr:cNvCxnSpPr/>
      </xdr:nvCxnSpPr>
      <xdr:spPr>
        <a:xfrm>
          <a:off x="214779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197697</xdr:colOff>
      <xdr:row>29</xdr:row>
      <xdr:rowOff>18910</xdr:rowOff>
    </xdr:from>
    <xdr:to>
      <xdr:col>4</xdr:col>
      <xdr:colOff>641596</xdr:colOff>
      <xdr:row>29</xdr:row>
      <xdr:rowOff>18910</xdr:rowOff>
    </xdr:to>
    <xdr:cxnSp macro="">
      <xdr:nvCxnSpPr>
        <xdr:cNvPr id="25" name="Straight Connector 24">
          <a:extLst>
            <a:ext uri="{FF2B5EF4-FFF2-40B4-BE49-F238E27FC236}">
              <a16:creationId xmlns:a16="http://schemas.microsoft.com/office/drawing/2014/main" id="{6613A3A1-1CB5-C555-EFA8-A14D009C1950}"/>
            </a:ext>
          </a:extLst>
        </xdr:cNvPr>
        <xdr:cNvCxnSpPr/>
      </xdr:nvCxnSpPr>
      <xdr:spPr>
        <a:xfrm>
          <a:off x="794597" y="3822560"/>
          <a:ext cx="685199"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134846</xdr:colOff>
      <xdr:row>28</xdr:row>
      <xdr:rowOff>272910</xdr:rowOff>
    </xdr:from>
    <xdr:to>
      <xdr:col>8</xdr:col>
      <xdr:colOff>602846</xdr:colOff>
      <xdr:row>28</xdr:row>
      <xdr:rowOff>272910</xdr:rowOff>
    </xdr:to>
    <xdr:cxnSp macro="">
      <xdr:nvCxnSpPr>
        <xdr:cNvPr id="26" name="Straight Connector 25">
          <a:extLst>
            <a:ext uri="{FF2B5EF4-FFF2-40B4-BE49-F238E27FC236}">
              <a16:creationId xmlns:a16="http://schemas.microsoft.com/office/drawing/2014/main" id="{4B2BEB1D-8643-CCBC-E3A1-AB58095DCEF0}"/>
            </a:ext>
          </a:extLst>
        </xdr:cNvPr>
        <xdr:cNvCxnSpPr/>
      </xdr:nvCxnSpPr>
      <xdr:spPr>
        <a:xfrm>
          <a:off x="297964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133259</xdr:colOff>
      <xdr:row>29</xdr:row>
      <xdr:rowOff>3035</xdr:rowOff>
    </xdr:from>
    <xdr:to>
      <xdr:col>10</xdr:col>
      <xdr:colOff>601259</xdr:colOff>
      <xdr:row>29</xdr:row>
      <xdr:rowOff>3035</xdr:rowOff>
    </xdr:to>
    <xdr:cxnSp macro="">
      <xdr:nvCxnSpPr>
        <xdr:cNvPr id="27" name="Straight Connector 26">
          <a:extLst>
            <a:ext uri="{FF2B5EF4-FFF2-40B4-BE49-F238E27FC236}">
              <a16:creationId xmlns:a16="http://schemas.microsoft.com/office/drawing/2014/main" id="{0AE4F931-69C2-2BF5-C3D8-DBA83C1A600A}"/>
            </a:ext>
          </a:extLst>
        </xdr:cNvPr>
        <xdr:cNvCxnSpPr/>
      </xdr:nvCxnSpPr>
      <xdr:spPr>
        <a:xfrm>
          <a:off x="4125822" y="5210035"/>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160246</xdr:colOff>
      <xdr:row>28</xdr:row>
      <xdr:rowOff>272910</xdr:rowOff>
    </xdr:from>
    <xdr:to>
      <xdr:col>12</xdr:col>
      <xdr:colOff>628246</xdr:colOff>
      <xdr:row>28</xdr:row>
      <xdr:rowOff>272910</xdr:rowOff>
    </xdr:to>
    <xdr:cxnSp macro="">
      <xdr:nvCxnSpPr>
        <xdr:cNvPr id="28" name="Straight Connector 27">
          <a:extLst>
            <a:ext uri="{FF2B5EF4-FFF2-40B4-BE49-F238E27FC236}">
              <a16:creationId xmlns:a16="http://schemas.microsoft.com/office/drawing/2014/main" id="{27595A84-AD5E-DB0C-ABAF-D14DFDDBD4DC}"/>
            </a:ext>
          </a:extLst>
        </xdr:cNvPr>
        <xdr:cNvCxnSpPr/>
      </xdr:nvCxnSpPr>
      <xdr:spPr>
        <a:xfrm>
          <a:off x="497989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128496</xdr:colOff>
      <xdr:row>28</xdr:row>
      <xdr:rowOff>272910</xdr:rowOff>
    </xdr:from>
    <xdr:to>
      <xdr:col>14</xdr:col>
      <xdr:colOff>596496</xdr:colOff>
      <xdr:row>28</xdr:row>
      <xdr:rowOff>272910</xdr:rowOff>
    </xdr:to>
    <xdr:cxnSp macro="">
      <xdr:nvCxnSpPr>
        <xdr:cNvPr id="29" name="Straight Connector 28">
          <a:extLst>
            <a:ext uri="{FF2B5EF4-FFF2-40B4-BE49-F238E27FC236}">
              <a16:creationId xmlns:a16="http://schemas.microsoft.com/office/drawing/2014/main" id="{70F938C4-DB41-E52F-4550-A69DA625D363}"/>
            </a:ext>
          </a:extLst>
        </xdr:cNvPr>
        <xdr:cNvCxnSpPr/>
      </xdr:nvCxnSpPr>
      <xdr:spPr>
        <a:xfrm>
          <a:off x="609114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128496</xdr:colOff>
      <xdr:row>28</xdr:row>
      <xdr:rowOff>272910</xdr:rowOff>
    </xdr:from>
    <xdr:to>
      <xdr:col>16</xdr:col>
      <xdr:colOff>596496</xdr:colOff>
      <xdr:row>28</xdr:row>
      <xdr:rowOff>272910</xdr:rowOff>
    </xdr:to>
    <xdr:cxnSp macro="">
      <xdr:nvCxnSpPr>
        <xdr:cNvPr id="30" name="Straight Connector 29">
          <a:extLst>
            <a:ext uri="{FF2B5EF4-FFF2-40B4-BE49-F238E27FC236}">
              <a16:creationId xmlns:a16="http://schemas.microsoft.com/office/drawing/2014/main" id="{8EA0D70A-980C-A7AB-0C50-0583BEAF0F1F}"/>
            </a:ext>
          </a:extLst>
        </xdr:cNvPr>
        <xdr:cNvCxnSpPr/>
      </xdr:nvCxnSpPr>
      <xdr:spPr>
        <a:xfrm>
          <a:off x="692299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153896</xdr:colOff>
      <xdr:row>28</xdr:row>
      <xdr:rowOff>272910</xdr:rowOff>
    </xdr:from>
    <xdr:to>
      <xdr:col>18</xdr:col>
      <xdr:colOff>621896</xdr:colOff>
      <xdr:row>28</xdr:row>
      <xdr:rowOff>272910</xdr:rowOff>
    </xdr:to>
    <xdr:cxnSp macro="">
      <xdr:nvCxnSpPr>
        <xdr:cNvPr id="31" name="Straight Connector 30">
          <a:extLst>
            <a:ext uri="{FF2B5EF4-FFF2-40B4-BE49-F238E27FC236}">
              <a16:creationId xmlns:a16="http://schemas.microsoft.com/office/drawing/2014/main" id="{10B73018-F284-6949-BAE7-92F3CEA6E887}"/>
            </a:ext>
          </a:extLst>
        </xdr:cNvPr>
        <xdr:cNvCxnSpPr/>
      </xdr:nvCxnSpPr>
      <xdr:spPr>
        <a:xfrm>
          <a:off x="809139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147546</xdr:colOff>
      <xdr:row>28</xdr:row>
      <xdr:rowOff>272910</xdr:rowOff>
    </xdr:from>
    <xdr:to>
      <xdr:col>20</xdr:col>
      <xdr:colOff>615546</xdr:colOff>
      <xdr:row>28</xdr:row>
      <xdr:rowOff>272910</xdr:rowOff>
    </xdr:to>
    <xdr:cxnSp macro="">
      <xdr:nvCxnSpPr>
        <xdr:cNvPr id="32" name="Straight Connector 31">
          <a:extLst>
            <a:ext uri="{FF2B5EF4-FFF2-40B4-BE49-F238E27FC236}">
              <a16:creationId xmlns:a16="http://schemas.microsoft.com/office/drawing/2014/main" id="{00EF2C31-CE9C-E353-79AA-9AA4B6BC3B2F}"/>
            </a:ext>
          </a:extLst>
        </xdr:cNvPr>
        <xdr:cNvCxnSpPr/>
      </xdr:nvCxnSpPr>
      <xdr:spPr>
        <a:xfrm>
          <a:off x="891689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160246</xdr:colOff>
      <xdr:row>28</xdr:row>
      <xdr:rowOff>272910</xdr:rowOff>
    </xdr:from>
    <xdr:to>
      <xdr:col>16</xdr:col>
      <xdr:colOff>628246</xdr:colOff>
      <xdr:row>28</xdr:row>
      <xdr:rowOff>272910</xdr:rowOff>
    </xdr:to>
    <xdr:cxnSp macro="">
      <xdr:nvCxnSpPr>
        <xdr:cNvPr id="34" name="Straight Connector 33">
          <a:extLst>
            <a:ext uri="{FF2B5EF4-FFF2-40B4-BE49-F238E27FC236}">
              <a16:creationId xmlns:a16="http://schemas.microsoft.com/office/drawing/2014/main" id="{708DBEF0-9529-476F-B7D6-ED7EC3179DB7}"/>
            </a:ext>
          </a:extLst>
        </xdr:cNvPr>
        <xdr:cNvCxnSpPr/>
      </xdr:nvCxnSpPr>
      <xdr:spPr>
        <a:xfrm>
          <a:off x="4979896" y="521321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123647</xdr:colOff>
      <xdr:row>12</xdr:row>
      <xdr:rowOff>125878</xdr:rowOff>
    </xdr:from>
    <xdr:to>
      <xdr:col>13</xdr:col>
      <xdr:colOff>149794</xdr:colOff>
      <xdr:row>25</xdr:row>
      <xdr:rowOff>17929</xdr:rowOff>
    </xdr:to>
    <xdr:graphicFrame macro="">
      <xdr:nvGraphicFramePr>
        <xdr:cNvPr id="35" name="Chart 34">
          <a:extLst>
            <a:ext uri="{FF2B5EF4-FFF2-40B4-BE49-F238E27FC236}">
              <a16:creationId xmlns:a16="http://schemas.microsoft.com/office/drawing/2014/main" id="{B1688BDE-4991-4E89-AEFE-2D5F3D3C6D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13</xdr:col>
      <xdr:colOff>271573</xdr:colOff>
      <xdr:row>12</xdr:row>
      <xdr:rowOff>125878</xdr:rowOff>
    </xdr:from>
    <xdr:to>
      <xdr:col>17</xdr:col>
      <xdr:colOff>297720</xdr:colOff>
      <xdr:row>25</xdr:row>
      <xdr:rowOff>17929</xdr:rowOff>
    </xdr:to>
    <xdr:graphicFrame macro="">
      <xdr:nvGraphicFramePr>
        <xdr:cNvPr id="36" name="Chart 35">
          <a:extLst>
            <a:ext uri="{FF2B5EF4-FFF2-40B4-BE49-F238E27FC236}">
              <a16:creationId xmlns:a16="http://schemas.microsoft.com/office/drawing/2014/main" id="{0BA73D60-B4FD-450E-8749-B82B7AD6F5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18</xdr:col>
      <xdr:colOff>60140</xdr:colOff>
      <xdr:row>12</xdr:row>
      <xdr:rowOff>125878</xdr:rowOff>
    </xdr:from>
    <xdr:to>
      <xdr:col>22</xdr:col>
      <xdr:colOff>86286</xdr:colOff>
      <xdr:row>25</xdr:row>
      <xdr:rowOff>17929</xdr:rowOff>
    </xdr:to>
    <xdr:graphicFrame macro="">
      <xdr:nvGraphicFramePr>
        <xdr:cNvPr id="37" name="Chart 36">
          <a:extLst>
            <a:ext uri="{FF2B5EF4-FFF2-40B4-BE49-F238E27FC236}">
              <a16:creationId xmlns:a16="http://schemas.microsoft.com/office/drawing/2014/main" id="{1D92C9FD-289B-475A-A455-79B06F4E6E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21</xdr:col>
      <xdr:colOff>182657</xdr:colOff>
      <xdr:row>5</xdr:row>
      <xdr:rowOff>21279</xdr:rowOff>
    </xdr:from>
    <xdr:to>
      <xdr:col>22</xdr:col>
      <xdr:colOff>343648</xdr:colOff>
      <xdr:row>7</xdr:row>
      <xdr:rowOff>118396</xdr:rowOff>
    </xdr:to>
    <xdr:pic>
      <xdr:nvPicPr>
        <xdr:cNvPr id="38" name="Picture 37">
          <a:extLst>
            <a:ext uri="{FF2B5EF4-FFF2-40B4-BE49-F238E27FC236}">
              <a16:creationId xmlns:a16="http://schemas.microsoft.com/office/drawing/2014/main" id="{AE96C87C-7A85-8D4F-BB1F-1821FD849438}"/>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9225804" y="727250"/>
          <a:ext cx="553197" cy="5789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141947</xdr:colOff>
      <xdr:row>39</xdr:row>
      <xdr:rowOff>67231</xdr:rowOff>
    </xdr:from>
    <xdr:to>
      <xdr:col>8</xdr:col>
      <xdr:colOff>476416</xdr:colOff>
      <xdr:row>52</xdr:row>
      <xdr:rowOff>175816</xdr:rowOff>
    </xdr:to>
    <xdr:graphicFrame macro="">
      <xdr:nvGraphicFramePr>
        <xdr:cNvPr id="2" name="Chart 1">
          <a:extLst>
            <a:ext uri="{FF2B5EF4-FFF2-40B4-BE49-F238E27FC236}">
              <a16:creationId xmlns:a16="http://schemas.microsoft.com/office/drawing/2014/main" id="{466DB073-4310-4D32-81BE-37099CB491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667876</xdr:colOff>
      <xdr:row>45</xdr:row>
      <xdr:rowOff>174808</xdr:rowOff>
    </xdr:from>
    <xdr:to>
      <xdr:col>10</xdr:col>
      <xdr:colOff>412169</xdr:colOff>
      <xdr:row>59</xdr:row>
      <xdr:rowOff>178804</xdr:rowOff>
    </xdr:to>
    <xdr:graphicFrame macro="">
      <xdr:nvGraphicFramePr>
        <xdr:cNvPr id="3" name="Chart 2">
          <a:extLst>
            <a:ext uri="{FF2B5EF4-FFF2-40B4-BE49-F238E27FC236}">
              <a16:creationId xmlns:a16="http://schemas.microsoft.com/office/drawing/2014/main" id="{2FC18313-20C9-DEB6-E93C-B36B88DF4C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297335</xdr:colOff>
      <xdr:row>54</xdr:row>
      <xdr:rowOff>43328</xdr:rowOff>
    </xdr:from>
    <xdr:to>
      <xdr:col>8</xdr:col>
      <xdr:colOff>19216</xdr:colOff>
      <xdr:row>67</xdr:row>
      <xdr:rowOff>104588</xdr:rowOff>
    </xdr:to>
    <xdr:graphicFrame macro="">
      <xdr:nvGraphicFramePr>
        <xdr:cNvPr id="4" name="Chart 3">
          <a:extLst>
            <a:ext uri="{FF2B5EF4-FFF2-40B4-BE49-F238E27FC236}">
              <a16:creationId xmlns:a16="http://schemas.microsoft.com/office/drawing/2014/main" id="{B057B183-738D-5071-5B06-7DF5B3599B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76206</xdr:colOff>
      <xdr:row>61</xdr:row>
      <xdr:rowOff>150905</xdr:rowOff>
    </xdr:from>
    <xdr:to>
      <xdr:col>10</xdr:col>
      <xdr:colOff>537675</xdr:colOff>
      <xdr:row>75</xdr:row>
      <xdr:rowOff>32870</xdr:rowOff>
    </xdr:to>
    <xdr:graphicFrame macro="">
      <xdr:nvGraphicFramePr>
        <xdr:cNvPr id="5" name="Chart 4">
          <a:extLst>
            <a:ext uri="{FF2B5EF4-FFF2-40B4-BE49-F238E27FC236}">
              <a16:creationId xmlns:a16="http://schemas.microsoft.com/office/drawing/2014/main" id="{47D60EDA-45F6-7AA9-C3EE-4AD6C7E130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user" refreshedDate="45619.442077430554" createdVersion="7" refreshedVersion="8" minRefreshableVersion="3" recordCount="77" xr:uid="{FC0E6DB8-2D29-449C-9177-1A77E9689797}">
  <cacheSource type="worksheet">
    <worksheetSource name="Master_Data"/>
  </cacheSource>
  <cacheFields count="39">
    <cacheField name="Order of Study" numFmtId="3">
      <sharedItems containsSemiMixedTypes="0" containsString="0" containsNumber="1" containsInteger="1" minValue="1" maxValue="77"/>
    </cacheField>
    <cacheField name="Schedule" numFmtId="3">
      <sharedItems/>
    </cacheField>
    <cacheField name="Column1" numFmtId="3">
      <sharedItems containsSemiMixedTypes="0" containsString="0" containsNumber="1" containsInteger="1" minValue="2" maxValue="48"/>
    </cacheField>
    <cacheField name="Column2" numFmtId="3">
      <sharedItems containsMixedTypes="1" containsNumber="1" containsInteger="1" minValue="3" maxValue="48"/>
    </cacheField>
    <cacheField name="Cum. Undone hrs" numFmtId="0">
      <sharedItems containsSemiMixedTypes="0" containsNonDate="0" containsDate="1" containsString="0" minDate="1899-12-30T11:03:00" maxDate="1900-01-12T09:14:00"/>
    </cacheField>
    <cacheField name="Undone hrs" numFmtId="0">
      <sharedItems containsSemiMixedTypes="0" containsDate="1" containsString="0" containsMixedTypes="1" minDate="1899-12-30T00:02:00" maxDate="1899-12-30T00:00:00"/>
    </cacheField>
    <cacheField name="Subject" numFmtId="0">
      <sharedItems count="19">
        <s v="Quants"/>
        <s v="Corp. Issuers"/>
        <s v="FSA"/>
        <s v="Alt. Invest."/>
        <s v="Derivatives"/>
        <s v="Fixed Income"/>
        <s v="Ethics"/>
        <s v="Economics"/>
        <s v="Portfolio-1 and 2"/>
        <s v="Equity"/>
        <s v="Portfolio-1" u="1"/>
        <s v="Portfolio-2" u="1"/>
        <s v="Quants PR" u="1"/>
        <s v="FSA PR" u="1"/>
        <s v="Economics PR" u="1"/>
        <s v="Portfolio" u="1"/>
        <s v="Alt. Investments" u="1"/>
        <s v="FRA" u="1"/>
        <s v="Corporate Issuers" u="1"/>
      </sharedItems>
    </cacheField>
    <cacheField name="Reading" numFmtId="0">
      <sharedItems containsMixedTypes="1" containsNumber="1" containsInteger="1" minValue="2" maxValue="93"/>
    </cacheField>
    <cacheField name="Changes" numFmtId="0">
      <sharedItems/>
    </cacheField>
    <cacheField name="Topic" numFmtId="0">
      <sharedItems/>
    </cacheField>
    <cacheField name="No. of Chapters" numFmtId="0">
      <sharedItems containsSemiMixedTypes="0" containsString="0" containsNumber="1" minValue="1" maxValue="6"/>
    </cacheField>
    <cacheField name="No. of LOS2" numFmtId="0">
      <sharedItems containsSemiMixedTypes="0" containsString="0" containsNumber="1" containsInteger="1" minValue="1" maxValue="25"/>
    </cacheField>
    <cacheField name="Lengthy" numFmtId="0">
      <sharedItems containsSemiMixedTypes="0" containsString="0" containsNumber="1" containsInteger="1" minValue="1" maxValue="5"/>
    </cacheField>
    <cacheField name="Numerical or Not" numFmtId="0">
      <sharedItems containsSemiMixedTypes="0" containsString="0" containsNumber="1" containsInteger="1" minValue="1" maxValue="5"/>
    </cacheField>
    <cacheField name="Diff. Level" numFmtId="0">
      <sharedItems containsSemiMixedTypes="0" containsString="0" containsNumber="1" containsInteger="1" minValue="1" maxValue="5"/>
    </cacheField>
    <cacheField name="Confusing" numFmtId="0">
      <sharedItems containsSemiMixedTypes="0" containsString="0" containsNumber="1" containsInteger="1" minValue="1" maxValue="5"/>
    </cacheField>
    <cacheField name="Imp. Level" numFmtId="0">
      <sharedItems containsSemiMixedTypes="0" containsString="0" containsNumber="1" containsInteger="1" minValue="1" maxValue="5"/>
    </cacheField>
    <cacheField name="Reqd. Prac." numFmtId="0">
      <sharedItems containsSemiMixedTypes="0" containsString="0" containsNumber="1" containsInteger="1" minValue="2" maxValue="5"/>
    </cacheField>
    <cacheField name="Duration (hh:mm)" numFmtId="20">
      <sharedItems containsSemiMixedTypes="0" containsNonDate="0" containsDate="1" containsString="0" minDate="1899-12-30T00:02:00" maxDate="1899-12-30T13:44:00" count="70">
        <d v="1899-12-30T11:03:00"/>
        <d v="1899-12-30T07:07:00"/>
        <d v="1899-12-30T07:31:00"/>
        <d v="1899-12-30T02:05:00"/>
        <d v="1899-12-30T04:46:00"/>
        <d v="1899-12-30T03:37:00"/>
        <d v="1899-12-30T07:53:00"/>
        <d v="1899-12-30T08:06:00"/>
        <d v="1899-12-30T05:06:00"/>
        <d v="1899-12-30T08:53:00"/>
        <d v="1899-12-30T03:22:00"/>
        <d v="1899-12-30T03:50:00"/>
        <d v="1899-12-30T01:37:00"/>
        <d v="1899-12-30T03:24:00"/>
        <d v="1899-12-30T03:38:00"/>
        <d v="1899-12-30T04:02:00"/>
        <d v="1899-12-30T05:12:00"/>
        <d v="1899-12-30T02:15:00"/>
        <d v="1899-12-30T01:08:00"/>
        <d v="1899-12-30T02:07:00"/>
        <d v="1899-12-30T02:23:00"/>
        <d v="1899-12-30T04:57:00"/>
        <d v="1899-12-30T08:50:00"/>
        <d v="1899-12-30T02:42:00"/>
        <d v="1899-12-30T02:16:00"/>
        <d v="1899-12-30T01:01:00"/>
        <d v="1899-12-30T03:09:00"/>
        <d v="1899-12-30T02:44:00"/>
        <d v="1899-12-30T05:08:00"/>
        <d v="1899-12-30T03:19:00"/>
        <d v="1899-12-30T04:03:00"/>
        <d v="1899-12-30T03:02:00"/>
        <d v="1899-12-30T01:51:00"/>
        <d v="1899-12-30T13:44:00"/>
        <d v="1899-12-30T12:03:00"/>
        <d v="1899-12-30T11:44:00"/>
        <d v="1899-12-30T02:04:00"/>
        <d v="1899-12-30T10:16:00"/>
        <d v="1899-12-30T01:27:00"/>
        <d v="1899-12-30T01:11:00"/>
        <d v="1899-12-30T05:42:00"/>
        <d v="1899-12-30T01:03:00"/>
        <d v="1899-12-30T00:54:00"/>
        <d v="1899-12-30T01:33:00"/>
        <d v="1899-12-30T04:54:00"/>
        <d v="1899-12-30T01:02:00"/>
        <d v="1899-12-30T02:03:00"/>
        <d v="1899-12-30T02:17:00"/>
        <d v="1899-12-30T03:49:00"/>
        <d v="1899-12-30T01:48:00"/>
        <d v="1899-12-30T02:49:00"/>
        <d v="1899-12-30T02:33:00"/>
        <d v="1899-12-30T02:28:00"/>
        <d v="1899-12-30T03:15:00"/>
        <d v="1899-12-30T01:56:00"/>
        <d v="1899-12-30T03:17:00"/>
        <d v="1899-12-30T04:26:00"/>
        <d v="1899-12-30T09:16:00"/>
        <d v="1899-12-30T04:30:00"/>
        <d v="1899-12-30T06:03:00"/>
        <d v="1899-12-30T03:25:00"/>
        <d v="1899-12-30T02:30:00"/>
        <d v="1899-12-30T01:13:00"/>
        <d v="1899-12-30T01:35:00"/>
        <d v="1899-12-30T06:44:00"/>
        <d v="1899-12-30T05:30:00"/>
        <d v="1899-12-30T04:07:00"/>
        <d v="1899-12-30T07:25:00"/>
        <d v="1899-12-30T04:58:00"/>
        <d v="1899-12-30T00:02:00"/>
      </sharedItems>
      <fieldGroup par="38" base="18">
        <rangePr groupBy="seconds" startDate="1899-12-30T00:02:00" endDate="1899-12-30T13:44:00"/>
        <groupItems count="62">
          <s v="&lt;00-01-1900"/>
          <s v=":00"/>
          <s v=":01"/>
          <s v=":02"/>
          <s v=":03"/>
          <s v=":04"/>
          <s v=":05"/>
          <s v=":06"/>
          <s v=":07"/>
          <s v=":08"/>
          <s v=":09"/>
          <s v=":10"/>
          <s v=":11"/>
          <s v=":12"/>
          <s v=":13"/>
          <s v=":14"/>
          <s v=":15"/>
          <s v=":16"/>
          <s v=":17"/>
          <s v=":18"/>
          <s v=":19"/>
          <s v=":20"/>
          <s v=":21"/>
          <s v=":22"/>
          <s v=":23"/>
          <s v=":24"/>
          <s v=":25"/>
          <s v=":26"/>
          <s v=":27"/>
          <s v=":28"/>
          <s v=":29"/>
          <s v=":30"/>
          <s v=":31"/>
          <s v=":32"/>
          <s v=":33"/>
          <s v=":34"/>
          <s v=":35"/>
          <s v=":36"/>
          <s v=":37"/>
          <s v=":38"/>
          <s v=":39"/>
          <s v=":40"/>
          <s v=":41"/>
          <s v=":42"/>
          <s v=":43"/>
          <s v=":44"/>
          <s v=":45"/>
          <s v=":46"/>
          <s v=":47"/>
          <s v=":48"/>
          <s v=":49"/>
          <s v=":50"/>
          <s v=":51"/>
          <s v=":52"/>
          <s v=":53"/>
          <s v=":54"/>
          <s v=":55"/>
          <s v=":56"/>
          <s v=":57"/>
          <s v=":58"/>
          <s v=":59"/>
          <s v="&gt;00-01-1900"/>
        </groupItems>
      </fieldGroup>
    </cacheField>
    <cacheField name="Cum. (%)" numFmtId="3">
      <sharedItems containsSemiMixedTypes="0" containsString="0" containsNumber="1" minValue="3.4398671785825479" maxValue="100"/>
    </cacheField>
    <cacheField name="Lectures" numFmtId="17">
      <sharedItems containsNonDate="0" count="2">
        <s v="U"/>
        <s v="D" u="1"/>
      </sharedItems>
    </cacheField>
    <cacheField name="Self Study" numFmtId="17">
      <sharedItems containsNonDate="0" count="2">
        <s v="U"/>
        <s v="D" u="1"/>
      </sharedItems>
    </cacheField>
    <cacheField name="Inst. EOC Ques." numFmtId="17">
      <sharedItems containsNonDate="0"/>
    </cacheField>
    <cacheField name="Class Test Book" numFmtId="17">
      <sharedItems containsNonDate="0"/>
    </cacheField>
    <cacheField name="Revision" numFmtId="17">
      <sharedItems containsNonDate="0" count="2">
        <s v="U"/>
        <s v="D" u="1"/>
      </sharedItems>
    </cacheField>
    <cacheField name="Inst. Online Portal" numFmtId="17">
      <sharedItems containsNonDate="0"/>
    </cacheField>
    <cacheField name="Prac. Book" numFmtId="17">
      <sharedItems containsNonDate="0"/>
    </cacheField>
    <cacheField name="Schweser Prac. Bk 1" numFmtId="17">
      <sharedItems containsNonDate="0"/>
    </cacheField>
    <cacheField name="Schweser Prac. Bk 2" numFmtId="17">
      <sharedItems containsNonDate="0"/>
    </cacheField>
    <cacheField name="Confidence Level" numFmtId="0">
      <sharedItems containsSemiMixedTypes="0" containsString="0" containsNumber="1" containsInteger="1" minValue="2" maxValue="3"/>
    </cacheField>
    <cacheField name="Notes to Yourself" numFmtId="17">
      <sharedItems containsNonDate="0" containsString="0" containsBlank="1"/>
    </cacheField>
    <cacheField name="Total weights" numFmtId="9">
      <sharedItems containsSemiMixedTypes="0" containsString="0" containsNumber="1" minValue="3.3670033670033669E-3" maxValue="0.02"/>
    </cacheField>
    <cacheField name="Subjectwise weights" numFmtId="9">
      <sharedItems containsSemiMixedTypes="0" containsString="0" containsNumber="1" minValue="4.5454545454545456E-2" maxValue="0.41666666666666669"/>
    </cacheField>
    <cacheField name="Subjectwise weighted average" numFmtId="4">
      <sharedItems containsSemiMixedTypes="0" containsString="0" containsNumber="1" minValue="9.0909090909090912E-2" maxValue="1"/>
    </cacheField>
    <cacheField name="Practice" numFmtId="0">
      <sharedItems count="2">
        <s v="U"/>
        <s v="D" u="1"/>
      </sharedItems>
    </cacheField>
    <cacheField name="Extra Practice" numFmtId="0">
      <sharedItems count="2">
        <s v="U"/>
        <s v="D" u="1"/>
      </sharedItems>
    </cacheField>
    <cacheField name="Study" numFmtId="0">
      <sharedItems/>
    </cacheField>
    <cacheField name="Minutes" numFmtId="0" databaseField="0">
      <fieldGroup base="18">
        <rangePr groupBy="minutes" startDate="1899-12-30T00:02:00" endDate="1899-12-30T13:44:00"/>
        <groupItems count="62">
          <s v="&lt;00-01-1900"/>
          <s v=":00"/>
          <s v=":01"/>
          <s v=":02"/>
          <s v=":03"/>
          <s v=":04"/>
          <s v=":05"/>
          <s v=":06"/>
          <s v=":07"/>
          <s v=":08"/>
          <s v=":09"/>
          <s v=":10"/>
          <s v=":11"/>
          <s v=":12"/>
          <s v=":13"/>
          <s v=":14"/>
          <s v=":15"/>
          <s v=":16"/>
          <s v=":17"/>
          <s v=":18"/>
          <s v=":19"/>
          <s v=":20"/>
          <s v=":21"/>
          <s v=":22"/>
          <s v=":23"/>
          <s v=":24"/>
          <s v=":25"/>
          <s v=":26"/>
          <s v=":27"/>
          <s v=":28"/>
          <s v=":29"/>
          <s v=":30"/>
          <s v=":31"/>
          <s v=":32"/>
          <s v=":33"/>
          <s v=":34"/>
          <s v=":35"/>
          <s v=":36"/>
          <s v=":37"/>
          <s v=":38"/>
          <s v=":39"/>
          <s v=":40"/>
          <s v=":41"/>
          <s v=":42"/>
          <s v=":43"/>
          <s v=":44"/>
          <s v=":45"/>
          <s v=":46"/>
          <s v=":47"/>
          <s v=":48"/>
          <s v=":49"/>
          <s v=":50"/>
          <s v=":51"/>
          <s v=":52"/>
          <s v=":53"/>
          <s v=":54"/>
          <s v=":55"/>
          <s v=":56"/>
          <s v=":57"/>
          <s v=":58"/>
          <s v=":59"/>
          <s v="&gt;00-01-1900"/>
        </groupItems>
      </fieldGroup>
    </cacheField>
    <cacheField name="Hours" numFmtId="0" databaseField="0">
      <fieldGroup base="18">
        <rangePr groupBy="hours" startDate="1899-12-30T00:02:00" endDate="1899-12-30T13:44:00"/>
        <groupItems count="26">
          <s v="&lt;00-01-1900"/>
          <s v="00"/>
          <s v="01"/>
          <s v="02"/>
          <s v="03"/>
          <s v="04"/>
          <s v="05"/>
          <s v="06"/>
          <s v="07"/>
          <s v="08"/>
          <s v="09"/>
          <s v="10"/>
          <s v="11"/>
          <s v="12"/>
          <s v="13"/>
          <s v="14"/>
          <s v="15"/>
          <s v="16"/>
          <s v="17"/>
          <s v="18"/>
          <s v="19"/>
          <s v="20"/>
          <s v="21"/>
          <s v="22"/>
          <s v="23"/>
          <s v="&gt;00-01-1900"/>
        </groupItems>
      </fieldGroup>
    </cacheField>
  </cacheFields>
  <extLst>
    <ext xmlns:x14="http://schemas.microsoft.com/office/spreadsheetml/2009/9/main" uri="{725AE2AE-9491-48be-B2B4-4EB974FC3084}">
      <x14:pivotCacheDefinition pivotCacheId="1723530185"/>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7">
  <r>
    <n v="1"/>
    <s v="Current Week"/>
    <n v="2"/>
    <e v="#VALUE!"/>
    <d v="1899-12-30T11:03:00"/>
    <d v="1899-12-30T11:03:00"/>
    <x v="0"/>
    <s v="01,PR1"/>
    <s v="Same"/>
    <s v="The Time Value of Money"/>
    <n v="2"/>
    <n v="11"/>
    <n v="4"/>
    <n v="5"/>
    <n v="4"/>
    <n v="5"/>
    <n v="5"/>
    <n v="4"/>
    <x v="0"/>
    <n v="3.4398671785825479"/>
    <x v="0"/>
    <x v="0"/>
    <s v="U"/>
    <s v="U"/>
    <x v="0"/>
    <s v="U"/>
    <s v="U"/>
    <s v="U"/>
    <s v="U"/>
    <n v="3"/>
    <m/>
    <n v="0.02"/>
    <n v="0.11363636363636363"/>
    <n v="0.34090909090909088"/>
    <x v="0"/>
    <x v="0"/>
    <s v="U"/>
  </r>
  <r>
    <n v="2"/>
    <s v="Week 3"/>
    <n v="3"/>
    <n v="3"/>
    <d v="1899-12-30T18:10:00"/>
    <d v="1899-12-30T07:07:00"/>
    <x v="1"/>
    <n v="24"/>
    <s v="Same"/>
    <s v="Capital Investments and Capital Allocation"/>
    <n v="1"/>
    <n v="4"/>
    <n v="4"/>
    <n v="4"/>
    <n v="4"/>
    <n v="4"/>
    <n v="5"/>
    <n v="4"/>
    <x v="1"/>
    <n v="5.6552869150150489"/>
    <x v="0"/>
    <x v="0"/>
    <s v="U"/>
    <s v="U"/>
    <x v="0"/>
    <s v="U"/>
    <s v="U"/>
    <s v="U"/>
    <s v="U"/>
    <n v="3"/>
    <m/>
    <n v="1.6835016835016835E-2"/>
    <n v="0.22727272727272727"/>
    <n v="0.68181818181818177"/>
    <x v="0"/>
    <x v="0"/>
    <s v="U"/>
  </r>
  <r>
    <n v="3"/>
    <s v="Week 4"/>
    <n v="4"/>
    <n v="4"/>
    <d v="1899-12-31T01:41:00"/>
    <d v="1899-12-30T07:31:00"/>
    <x v="0"/>
    <s v="03,PR2"/>
    <s v="Same"/>
    <s v="Statistical Measures"/>
    <n v="2"/>
    <n v="15"/>
    <n v="4"/>
    <n v="4"/>
    <n v="3"/>
    <n v="4"/>
    <n v="4"/>
    <n v="4"/>
    <x v="2"/>
    <n v="7.9952267303102644"/>
    <x v="0"/>
    <x v="0"/>
    <s v="U"/>
    <s v="U"/>
    <x v="0"/>
    <s v="U"/>
    <s v="U"/>
    <s v="U"/>
    <s v="U"/>
    <n v="2"/>
    <m/>
    <n v="1.3468013468013467E-2"/>
    <n v="9.0909090909090912E-2"/>
    <n v="0.18181818181818182"/>
    <x v="0"/>
    <x v="0"/>
    <s v="U"/>
  </r>
  <r>
    <n v="4"/>
    <s v="Week 5"/>
    <n v="5"/>
    <n v="5"/>
    <d v="1899-12-31T03:46:00"/>
    <d v="1899-12-30T02:05:00"/>
    <x v="0"/>
    <n v="5"/>
    <s v="Same"/>
    <s v="Portfolio Mathematics"/>
    <n v="1"/>
    <n v="3"/>
    <n v="4"/>
    <n v="4"/>
    <n v="3"/>
    <n v="4"/>
    <n v="4"/>
    <n v="4"/>
    <x v="3"/>
    <n v="8.6437688077202477"/>
    <x v="0"/>
    <x v="0"/>
    <s v="U"/>
    <s v="U"/>
    <x v="0"/>
    <s v="U"/>
    <s v="U"/>
    <s v="U"/>
    <s v="U"/>
    <n v="3"/>
    <m/>
    <n v="1.3468013468013467E-2"/>
    <n v="9.0909090909090912E-2"/>
    <n v="0.27272727272727271"/>
    <x v="0"/>
    <x v="0"/>
    <s v="U"/>
  </r>
  <r>
    <n v="5"/>
    <s v="Week 5"/>
    <n v="5"/>
    <n v="5"/>
    <d v="1899-12-31T08:32:00"/>
    <d v="1899-12-30T04:46:00"/>
    <x v="0"/>
    <s v="04,PR3"/>
    <s v="Same"/>
    <s v="Probability"/>
    <n v="2"/>
    <n v="11"/>
    <n v="4"/>
    <n v="4"/>
    <n v="3"/>
    <n v="4"/>
    <n v="4"/>
    <n v="4"/>
    <x v="4"/>
    <n v="10.127633080834288"/>
    <x v="0"/>
    <x v="0"/>
    <s v="U"/>
    <s v="U"/>
    <x v="0"/>
    <s v="U"/>
    <s v="U"/>
    <s v="U"/>
    <s v="U"/>
    <n v="3"/>
    <m/>
    <n v="1.3468013468013467E-2"/>
    <n v="9.0909090909090912E-2"/>
    <n v="0.27272727272727271"/>
    <x v="0"/>
    <x v="0"/>
    <s v="U"/>
  </r>
  <r>
    <n v="6"/>
    <s v="Week 6"/>
    <n v="6"/>
    <n v="6"/>
    <d v="1899-12-31T12:09:00"/>
    <d v="1899-12-30T03:37:00"/>
    <x v="2"/>
    <s v="27,PR15"/>
    <s v="Same"/>
    <s v="Financial Statement Reporting and Analysis"/>
    <n v="2"/>
    <n v="10"/>
    <n v="1"/>
    <n v="1"/>
    <n v="1"/>
    <n v="1"/>
    <n v="3"/>
    <n v="2"/>
    <x v="5"/>
    <n v="11.253502127218018"/>
    <x v="0"/>
    <x v="0"/>
    <s v="U"/>
    <s v="U"/>
    <x v="0"/>
    <s v="U"/>
    <s v="U"/>
    <s v="U"/>
    <s v="U"/>
    <n v="2"/>
    <m/>
    <n v="1.0101010101010102E-2"/>
    <n v="6.9767441860465115E-2"/>
    <n v="0.13953488372093023"/>
    <x v="0"/>
    <x v="0"/>
    <s v="U"/>
  </r>
  <r>
    <n v="7"/>
    <s v="Week 7"/>
    <n v="7"/>
    <n v="7"/>
    <d v="1899-12-31T20:02:00"/>
    <d v="1899-12-30T07:53:00"/>
    <x v="2"/>
    <s v="28,29,PR16,PR17"/>
    <s v="Same"/>
    <s v="Income Statement and Balance Sheet"/>
    <n v="4"/>
    <n v="25"/>
    <n v="3"/>
    <n v="3"/>
    <n v="3"/>
    <n v="3"/>
    <n v="4"/>
    <n v="4"/>
    <x v="6"/>
    <n v="13.707585348137394"/>
    <x v="0"/>
    <x v="0"/>
    <s v="U"/>
    <s v="U"/>
    <x v="0"/>
    <s v="U"/>
    <s v="U"/>
    <s v="U"/>
    <s v="U"/>
    <n v="2"/>
    <m/>
    <n v="1.3468013468013467E-2"/>
    <n v="9.3023255813953487E-2"/>
    <n v="0.18604651162790697"/>
    <x v="0"/>
    <x v="0"/>
    <s v="U"/>
  </r>
  <r>
    <n v="8"/>
    <s v="Week 8"/>
    <n v="8"/>
    <n v="8"/>
    <d v="1900-01-01T04:08:00"/>
    <d v="1899-12-30T08:06:00"/>
    <x v="0"/>
    <s v="06,PR4,PR7"/>
    <s v="Same"/>
    <s v="Probability Distributions"/>
    <n v="3"/>
    <n v="19"/>
    <n v="3"/>
    <n v="4"/>
    <n v="4"/>
    <n v="4"/>
    <n v="4"/>
    <n v="4"/>
    <x v="7"/>
    <n v="16.229116945107407"/>
    <x v="0"/>
    <x v="0"/>
    <s v="U"/>
    <s v="U"/>
    <x v="0"/>
    <s v="U"/>
    <s v="U"/>
    <s v="U"/>
    <s v="U"/>
    <n v="2"/>
    <m/>
    <n v="1.3468013468013467E-2"/>
    <n v="9.0909090909090912E-2"/>
    <n v="0.18181818181818182"/>
    <x v="0"/>
    <x v="0"/>
    <s v="U"/>
  </r>
  <r>
    <n v="9"/>
    <s v="Week 11"/>
    <n v="11"/>
    <n v="10"/>
    <d v="1900-01-01T21:29:00"/>
    <d v="1899-12-30T05:06:00"/>
    <x v="0"/>
    <s v="07,PR5"/>
    <s v="Same"/>
    <s v="Sampling, Estimation, Inference"/>
    <n v="2"/>
    <n v="7"/>
    <n v="3"/>
    <n v="4"/>
    <n v="4"/>
    <n v="5"/>
    <n v="4"/>
    <n v="4"/>
    <x v="8"/>
    <n v="17.816747950607041"/>
    <x v="0"/>
    <x v="0"/>
    <s v="U"/>
    <s v="U"/>
    <x v="0"/>
    <s v="U"/>
    <s v="U"/>
    <s v="U"/>
    <s v="U"/>
    <n v="2"/>
    <m/>
    <n v="1.6E-2"/>
    <n v="9.0909090909090912E-2"/>
    <n v="0.18181818181818182"/>
    <x v="0"/>
    <x v="0"/>
    <s v="U"/>
  </r>
  <r>
    <n v="10"/>
    <s v="Week 10"/>
    <n v="10"/>
    <n v="9"/>
    <d v="1900-01-01T18:07:00"/>
    <d v="1899-12-30T08:53:00"/>
    <x v="0"/>
    <s v="08,PR6"/>
    <s v="Same"/>
    <s v="Hypothesis Testing"/>
    <n v="2"/>
    <n v="13"/>
    <n v="5"/>
    <n v="4"/>
    <n v="5"/>
    <n v="5"/>
    <n v="4"/>
    <n v="4"/>
    <x v="9"/>
    <n v="20.582131368683211"/>
    <x v="0"/>
    <x v="0"/>
    <s v="U"/>
    <s v="U"/>
    <x v="0"/>
    <s v="U"/>
    <s v="U"/>
    <s v="U"/>
    <s v="U"/>
    <n v="2"/>
    <m/>
    <n v="1.3468013468013467E-2"/>
    <n v="9.0909090909090912E-2"/>
    <n v="0.18181818181818182"/>
    <x v="0"/>
    <x v="0"/>
    <s v="U"/>
  </r>
  <r>
    <n v="11"/>
    <s v="Week 11"/>
    <n v="11"/>
    <n v="11"/>
    <d v="1900-01-01T21:29:00"/>
    <d v="1899-12-30T03:22:00"/>
    <x v="2"/>
    <s v="30,31,PR18"/>
    <s v="Same"/>
    <s v="Cash Flow Statements"/>
    <n v="3"/>
    <n v="10"/>
    <n v="3"/>
    <n v="3"/>
    <n v="4"/>
    <n v="4"/>
    <n v="4"/>
    <n v="4"/>
    <x v="10"/>
    <n v="21.630175365777742"/>
    <x v="0"/>
    <x v="0"/>
    <s v="U"/>
    <s v="U"/>
    <x v="0"/>
    <s v="U"/>
    <s v="U"/>
    <s v="U"/>
    <s v="U"/>
    <n v="3"/>
    <m/>
    <n v="1.3468013468013467E-2"/>
    <n v="9.3023255813953487E-2"/>
    <n v="0.27906976744186046"/>
    <x v="0"/>
    <x v="0"/>
    <s v="U"/>
  </r>
  <r>
    <n v="12"/>
    <s v="Week 11"/>
    <n v="11"/>
    <n v="11"/>
    <d v="1900-01-02T01:19:00"/>
    <d v="1899-12-30T03:50:00"/>
    <x v="2"/>
    <n v="37"/>
    <s v="Same"/>
    <s v="Financial Analysis Techniques"/>
    <n v="1"/>
    <n v="6"/>
    <n v="4"/>
    <n v="4"/>
    <n v="3"/>
    <n v="3"/>
    <n v="5"/>
    <n v="4"/>
    <x v="11"/>
    <n v="22.823492788212111"/>
    <x v="0"/>
    <x v="0"/>
    <s v="U"/>
    <s v="U"/>
    <x v="0"/>
    <s v="U"/>
    <s v="U"/>
    <s v="U"/>
    <s v="U"/>
    <n v="3"/>
    <m/>
    <n v="1.6835016835016835E-2"/>
    <n v="0.11627906976744186"/>
    <n v="0.34883720930232559"/>
    <x v="0"/>
    <x v="0"/>
    <s v="U"/>
  </r>
  <r>
    <n v="13"/>
    <s v="Week 12"/>
    <n v="12"/>
    <n v="12"/>
    <d v="1900-01-02T02:56:00"/>
    <d v="1899-12-30T01:37:00"/>
    <x v="0"/>
    <n v="9"/>
    <s v="Same"/>
    <s v="Parametric and Non Parametric Tests of Independence"/>
    <n v="1"/>
    <n v="2"/>
    <n v="5"/>
    <n v="4"/>
    <n v="5"/>
    <n v="5"/>
    <n v="4"/>
    <n v="4"/>
    <x v="12"/>
    <n v="23.326761440282258"/>
    <x v="0"/>
    <x v="0"/>
    <s v="U"/>
    <s v="U"/>
    <x v="0"/>
    <s v="U"/>
    <s v="U"/>
    <s v="U"/>
    <s v="U"/>
    <n v="3"/>
    <m/>
    <n v="1.3468013468013467E-2"/>
    <n v="9.0909090909090912E-2"/>
    <n v="0.27272727272727271"/>
    <x v="0"/>
    <x v="0"/>
    <s v="U"/>
  </r>
  <r>
    <n v="14"/>
    <s v="Week 12"/>
    <n v="12"/>
    <n v="12"/>
    <d v="1900-01-02T06:20:00"/>
    <n v="0.14166666666666666"/>
    <x v="0"/>
    <n v="10"/>
    <s v="Same"/>
    <s v="Simple Linear Regression"/>
    <n v="1"/>
    <n v="6"/>
    <n v="3"/>
    <n v="4"/>
    <n v="4"/>
    <n v="4"/>
    <n v="4"/>
    <n v="4"/>
    <x v="13"/>
    <n v="24.385182110615347"/>
    <x v="0"/>
    <x v="0"/>
    <s v="U"/>
    <s v="U"/>
    <x v="0"/>
    <s v="U"/>
    <s v="U"/>
    <s v="U"/>
    <s v="U"/>
    <n v="3"/>
    <m/>
    <n v="1.3468013468013467E-2"/>
    <n v="9.0909090909090912E-2"/>
    <n v="0.27272727272727271"/>
    <x v="0"/>
    <x v="0"/>
    <s v="U"/>
  </r>
  <r>
    <n v="15"/>
    <s v="Week 13"/>
    <n v="13"/>
    <n v="13"/>
    <d v="1900-01-02T09:58:00"/>
    <d v="1899-12-30T03:38:00"/>
    <x v="2"/>
    <s v="32,PR19"/>
    <s v="Same"/>
    <s v="Inventories"/>
    <n v="2"/>
    <n v="15"/>
    <n v="4"/>
    <n v="2"/>
    <n v="4"/>
    <n v="4"/>
    <n v="4"/>
    <n v="4"/>
    <x v="14"/>
    <n v="25.516239493618357"/>
    <x v="0"/>
    <x v="0"/>
    <s v="U"/>
    <s v="U"/>
    <x v="0"/>
    <s v="U"/>
    <s v="U"/>
    <s v="U"/>
    <s v="U"/>
    <n v="2"/>
    <m/>
    <n v="1.6E-2"/>
    <n v="9.3023255813953487E-2"/>
    <n v="0.18604651162790697"/>
    <x v="0"/>
    <x v="0"/>
    <s v="U"/>
  </r>
  <r>
    <n v="16"/>
    <s v="Week 13"/>
    <n v="13"/>
    <n v="13"/>
    <d v="1900-01-02T14:00:00"/>
    <d v="1899-12-30T04:02:00"/>
    <x v="2"/>
    <s v="35,PR21"/>
    <s v="Same"/>
    <s v="Income Taxes"/>
    <n v="2"/>
    <n v="10"/>
    <n v="4"/>
    <n v="3"/>
    <n v="5"/>
    <n v="5"/>
    <n v="4"/>
    <n v="4"/>
    <x v="15"/>
    <n v="26.771816955484084"/>
    <x v="0"/>
    <x v="0"/>
    <s v="U"/>
    <s v="U"/>
    <x v="0"/>
    <s v="U"/>
    <s v="U"/>
    <s v="U"/>
    <s v="U"/>
    <n v="2"/>
    <m/>
    <n v="1.3468013468013467E-2"/>
    <n v="9.3023255813953487E-2"/>
    <n v="0.18604651162790697"/>
    <x v="0"/>
    <x v="0"/>
    <s v="U"/>
  </r>
  <r>
    <n v="17"/>
    <s v="Week 14"/>
    <n v="14"/>
    <n v="14"/>
    <d v="1900-01-02T19:12:00"/>
    <d v="1899-12-30T05:12:00"/>
    <x v="3"/>
    <s v="76,77"/>
    <s v="Same"/>
    <s v="AI-Methods, Structures, Performance and Returns"/>
    <n v="2"/>
    <n v="5"/>
    <n v="5"/>
    <n v="2"/>
    <n v="4"/>
    <n v="4"/>
    <n v="5"/>
    <n v="5"/>
    <x v="16"/>
    <n v="28.390577980699405"/>
    <x v="0"/>
    <x v="0"/>
    <s v="U"/>
    <s v="U"/>
    <x v="0"/>
    <s v="U"/>
    <s v="U"/>
    <s v="U"/>
    <s v="U"/>
    <n v="2"/>
    <m/>
    <n v="1.6835016835016835E-2"/>
    <n v="0.16666666666666666"/>
    <n v="0.33333333333333331"/>
    <x v="0"/>
    <x v="0"/>
    <s v="U"/>
  </r>
  <r>
    <n v="18"/>
    <s v="Week 14"/>
    <n v="14"/>
    <n v="14"/>
    <d v="1900-01-02T21:27:00"/>
    <d v="1899-12-30T02:15:00"/>
    <x v="3"/>
    <n v="79"/>
    <s v="Same"/>
    <s v="Real Estate and Infrastructure"/>
    <n v="1"/>
    <n v="4"/>
    <n v="5"/>
    <n v="2"/>
    <n v="4"/>
    <n v="4"/>
    <n v="5"/>
    <n v="5"/>
    <x v="17"/>
    <n v="29.091003424302187"/>
    <x v="0"/>
    <x v="0"/>
    <s v="U"/>
    <s v="U"/>
    <x v="0"/>
    <s v="U"/>
    <s v="U"/>
    <s v="U"/>
    <s v="U"/>
    <n v="2"/>
    <m/>
    <n v="1.6835016835016835E-2"/>
    <n v="0.16666666666666666"/>
    <n v="0.33333333333333331"/>
    <x v="0"/>
    <x v="0"/>
    <s v="U"/>
  </r>
  <r>
    <n v="19"/>
    <s v="Week 15"/>
    <n v="15"/>
    <n v="15"/>
    <d v="1900-01-02T22:35:00"/>
    <d v="1899-12-30T01:08:00"/>
    <x v="3"/>
    <n v="80"/>
    <s v="Same"/>
    <s v="Natural Resources"/>
    <n v="1"/>
    <n v="3"/>
    <n v="5"/>
    <n v="2"/>
    <n v="4"/>
    <n v="4"/>
    <n v="5"/>
    <n v="5"/>
    <x v="18"/>
    <n v="29.443810314413216"/>
    <x v="0"/>
    <x v="0"/>
    <s v="U"/>
    <s v="U"/>
    <x v="0"/>
    <s v="U"/>
    <s v="U"/>
    <s v="U"/>
    <s v="U"/>
    <n v="2"/>
    <m/>
    <n v="1.6835016835016835E-2"/>
    <n v="0.16666666666666666"/>
    <n v="0.33333333333333331"/>
    <x v="0"/>
    <x v="0"/>
    <s v="U"/>
  </r>
  <r>
    <n v="20"/>
    <s v="Week 15"/>
    <n v="15"/>
    <n v="15"/>
    <d v="1900-01-03T00:42:00"/>
    <d v="1899-12-30T02:07:00"/>
    <x v="3"/>
    <n v="78"/>
    <s v="Same"/>
    <s v="Investments in Private Capital-Equity and Debt"/>
    <n v="1"/>
    <n v="3"/>
    <n v="5"/>
    <n v="2"/>
    <n v="4"/>
    <n v="4"/>
    <n v="5"/>
    <n v="5"/>
    <x v="19"/>
    <n v="30.102729065061755"/>
    <x v="0"/>
    <x v="0"/>
    <s v="U"/>
    <s v="U"/>
    <x v="0"/>
    <s v="U"/>
    <s v="U"/>
    <s v="U"/>
    <s v="U"/>
    <n v="3"/>
    <m/>
    <n v="1.6835016835016835E-2"/>
    <n v="0.16666666666666666"/>
    <n v="0.5"/>
    <x v="0"/>
    <x v="0"/>
    <s v="U"/>
  </r>
  <r>
    <n v="21"/>
    <s v="Week 15"/>
    <n v="15"/>
    <n v="15"/>
    <d v="1900-01-03T03:05:00"/>
    <d v="1899-12-30T02:23:00"/>
    <x v="3"/>
    <n v="81"/>
    <s v="Same"/>
    <s v="Hedge Funds"/>
    <n v="1"/>
    <n v="3"/>
    <n v="5"/>
    <n v="2"/>
    <n v="4"/>
    <n v="4"/>
    <n v="5"/>
    <n v="5"/>
    <x v="20"/>
    <n v="30.844661201618777"/>
    <x v="0"/>
    <x v="0"/>
    <s v="U"/>
    <s v="U"/>
    <x v="0"/>
    <s v="U"/>
    <s v="U"/>
    <s v="U"/>
    <s v="U"/>
    <n v="2"/>
    <m/>
    <n v="1.6835016835016835E-2"/>
    <n v="0.16666666666666666"/>
    <n v="0.33333333333333331"/>
    <x v="0"/>
    <x v="0"/>
    <s v="U"/>
  </r>
  <r>
    <n v="22"/>
    <s v="Week 16"/>
    <n v="16"/>
    <n v="16"/>
    <d v="1900-01-03T08:02:00"/>
    <d v="1899-12-30T04:57:00"/>
    <x v="3"/>
    <n v="82"/>
    <s v="Same"/>
    <s v="Introduction to Digital Assets"/>
    <n v="1"/>
    <n v="4"/>
    <n v="5"/>
    <n v="2"/>
    <n v="4"/>
    <n v="4"/>
    <n v="5"/>
    <n v="5"/>
    <x v="21"/>
    <n v="32.385597177544895"/>
    <x v="0"/>
    <x v="0"/>
    <s v="U"/>
    <s v="U"/>
    <x v="0"/>
    <s v="U"/>
    <s v="U"/>
    <s v="U"/>
    <s v="U"/>
    <n v="2"/>
    <m/>
    <n v="0.02"/>
    <n v="0.16666666666666666"/>
    <n v="0.33333333333333331"/>
    <x v="0"/>
    <x v="0"/>
    <s v="U"/>
  </r>
  <r>
    <n v="23"/>
    <s v="Week 17"/>
    <n v="17"/>
    <n v="17"/>
    <d v="1900-01-03T16:52:00"/>
    <n v="0.36805555555555558"/>
    <x v="2"/>
    <s v="34,PR22"/>
    <s v="Same"/>
    <s v="Non Current LongTerm Liabilities"/>
    <n v="2"/>
    <n v="6"/>
    <n v="5"/>
    <n v="3"/>
    <n v="4"/>
    <n v="5"/>
    <n v="5"/>
    <n v="4"/>
    <x v="22"/>
    <n v="35.135415585763219"/>
    <x v="0"/>
    <x v="0"/>
    <s v="U"/>
    <s v="U"/>
    <x v="0"/>
    <s v="U"/>
    <s v="U"/>
    <s v="U"/>
    <s v="U"/>
    <n v="2"/>
    <m/>
    <n v="1.6835016835016835E-2"/>
    <n v="0.11627906976744186"/>
    <n v="0.23255813953488372"/>
    <x v="0"/>
    <x v="0"/>
    <s v="U"/>
  </r>
  <r>
    <n v="24"/>
    <s v="Week 18"/>
    <n v="18"/>
    <n v="18"/>
    <d v="1900-01-03T19:34:00"/>
    <d v="1899-12-30T02:42:00"/>
    <x v="2"/>
    <s v="33,PR20"/>
    <s v="Same"/>
    <s v="Long Lived Assets"/>
    <n v="2"/>
    <n v="10"/>
    <n v="4"/>
    <n v="3"/>
    <n v="3"/>
    <n v="4"/>
    <n v="4"/>
    <n v="4"/>
    <x v="23"/>
    <n v="35.975926118086555"/>
    <x v="0"/>
    <x v="0"/>
    <s v="U"/>
    <s v="U"/>
    <x v="0"/>
    <s v="U"/>
    <s v="U"/>
    <s v="U"/>
    <s v="U"/>
    <n v="2"/>
    <m/>
    <n v="1.6E-2"/>
    <n v="9.3023255813953487E-2"/>
    <n v="0.18604651162790697"/>
    <x v="0"/>
    <x v="0"/>
    <s v="U"/>
  </r>
  <r>
    <n v="25"/>
    <s v="Week 18"/>
    <n v="18"/>
    <n v="18"/>
    <d v="1900-01-03T21:50:00"/>
    <d v="1899-12-30T02:16:00"/>
    <x v="2"/>
    <n v="36"/>
    <s v="Same"/>
    <s v="Financial Reporting Quality"/>
    <n v="1"/>
    <n v="8"/>
    <n v="1"/>
    <n v="1"/>
    <n v="3"/>
    <n v="2"/>
    <n v="3"/>
    <n v="3"/>
    <x v="24"/>
    <n v="36.681539898308614"/>
    <x v="0"/>
    <x v="0"/>
    <s v="U"/>
    <s v="U"/>
    <x v="0"/>
    <s v="U"/>
    <s v="U"/>
    <s v="U"/>
    <s v="U"/>
    <n v="2"/>
    <m/>
    <n v="1.0101010101010102E-2"/>
    <n v="6.9767441860465115E-2"/>
    <n v="0.13953488372093023"/>
    <x v="0"/>
    <x v="0"/>
    <s v="U"/>
  </r>
  <r>
    <n v="26"/>
    <s v="Week 18"/>
    <n v="18"/>
    <n v="18"/>
    <d v="1900-01-03T22:51:00"/>
    <d v="1899-12-30T01:01:00"/>
    <x v="2"/>
    <s v="PR23"/>
    <s v="Same"/>
    <s v="Applications of Financial Statement Analysis"/>
    <n v="1"/>
    <n v="5"/>
    <n v="1"/>
    <n v="2"/>
    <n v="2"/>
    <n v="3"/>
    <n v="3"/>
    <n v="3"/>
    <x v="25"/>
    <n v="36.998028432084681"/>
    <x v="0"/>
    <x v="0"/>
    <s v="U"/>
    <s v="U"/>
    <x v="0"/>
    <s v="U"/>
    <s v="U"/>
    <s v="U"/>
    <s v="U"/>
    <n v="3"/>
    <m/>
    <n v="1.2E-2"/>
    <n v="6.9767441860465115E-2"/>
    <n v="0.20930232558139533"/>
    <x v="0"/>
    <x v="0"/>
    <s v="U"/>
  </r>
  <r>
    <n v="27"/>
    <s v="Week 19"/>
    <n v="19"/>
    <n v="19"/>
    <d v="1900-01-04T02:00:00"/>
    <d v="1899-12-30T03:09:00"/>
    <x v="2"/>
    <n v="38"/>
    <s v="Same"/>
    <s v="Introduction to Financial Statement Modeling"/>
    <n v="1"/>
    <n v="5"/>
    <n v="3"/>
    <n v="2"/>
    <n v="3"/>
    <n v="3"/>
    <n v="4"/>
    <n v="4"/>
    <x v="26"/>
    <n v="37.978624053128577"/>
    <x v="0"/>
    <x v="0"/>
    <s v="U"/>
    <s v="U"/>
    <x v="0"/>
    <s v="U"/>
    <s v="U"/>
    <s v="U"/>
    <s v="U"/>
    <n v="2"/>
    <m/>
    <n v="1.6E-2"/>
    <n v="9.3023255813953487E-2"/>
    <n v="0.18604651162790697"/>
    <x v="0"/>
    <x v="0"/>
    <s v="U"/>
  </r>
  <r>
    <n v="28"/>
    <s v="Week 19"/>
    <n v="19"/>
    <n v="19"/>
    <d v="1900-01-04T04:44:00"/>
    <d v="1899-12-30T02:44:00"/>
    <x v="1"/>
    <n v="20"/>
    <s v="Same"/>
    <s v="Organizational Forms, Corporate Issuer Features, and Ownership"/>
    <n v="1"/>
    <n v="3"/>
    <n v="1"/>
    <n v="1"/>
    <n v="1"/>
    <n v="1"/>
    <n v="2"/>
    <n v="3"/>
    <x v="27"/>
    <n v="38.829511258690474"/>
    <x v="0"/>
    <x v="0"/>
    <s v="U"/>
    <s v="U"/>
    <x v="0"/>
    <s v="U"/>
    <s v="U"/>
    <s v="U"/>
    <s v="U"/>
    <n v="2"/>
    <m/>
    <n v="6.7340067340067337E-3"/>
    <n v="9.0909090909090912E-2"/>
    <n v="0.18181818181818182"/>
    <x v="0"/>
    <x v="0"/>
    <s v="U"/>
  </r>
  <r>
    <n v="29"/>
    <s v="Week 20"/>
    <n v="20"/>
    <n v="20"/>
    <d v="1900-01-04T09:52:00"/>
    <d v="1899-12-30T05:08:00"/>
    <x v="1"/>
    <n v="25"/>
    <s v="Same"/>
    <s v="Capital Structure"/>
    <n v="1"/>
    <n v="4"/>
    <n v="3"/>
    <n v="2"/>
    <n v="3"/>
    <n v="4"/>
    <n v="3"/>
    <n v="4"/>
    <x v="28"/>
    <n v="40.427518937428673"/>
    <x v="0"/>
    <x v="0"/>
    <s v="U"/>
    <s v="U"/>
    <x v="0"/>
    <s v="U"/>
    <s v="U"/>
    <s v="U"/>
    <s v="U"/>
    <n v="2"/>
    <m/>
    <n v="1.2E-2"/>
    <n v="0.13636363636363635"/>
    <n v="0.27272727272727271"/>
    <x v="0"/>
    <x v="0"/>
    <s v="U"/>
  </r>
  <r>
    <n v="30"/>
    <s v="Week 20"/>
    <n v="20"/>
    <n v="20"/>
    <d v="1900-01-04T13:11:00"/>
    <d v="1899-12-30T03:19:00"/>
    <x v="1"/>
    <n v="23"/>
    <s v="Same"/>
    <s v="Working Capital and Liquidity"/>
    <n v="1"/>
    <n v="3"/>
    <n v="4"/>
    <n v="4"/>
    <n v="3"/>
    <n v="2"/>
    <n v="4"/>
    <n v="3"/>
    <x v="29"/>
    <n v="41.459997924665359"/>
    <x v="0"/>
    <x v="0"/>
    <s v="U"/>
    <s v="U"/>
    <x v="0"/>
    <s v="U"/>
    <s v="U"/>
    <s v="U"/>
    <s v="U"/>
    <n v="2"/>
    <m/>
    <n v="1.6E-2"/>
    <n v="0.18181818181818182"/>
    <n v="0.36363636363636365"/>
    <x v="0"/>
    <x v="0"/>
    <s v="U"/>
  </r>
  <r>
    <n v="31"/>
    <s v="Week 21"/>
    <n v="21"/>
    <n v="21"/>
    <d v="1900-01-04T17:14:00"/>
    <d v="1899-12-30T04:03:00"/>
    <x v="1"/>
    <n v="21"/>
    <s v="Same"/>
    <s v="Investors and Other Stakeholders"/>
    <n v="1"/>
    <n v="3"/>
    <n v="1"/>
    <n v="1"/>
    <n v="1"/>
    <n v="1"/>
    <n v="2"/>
    <n v="3"/>
    <x v="30"/>
    <n v="42.72076372315037"/>
    <x v="0"/>
    <x v="0"/>
    <s v="U"/>
    <s v="U"/>
    <x v="0"/>
    <s v="U"/>
    <s v="U"/>
    <s v="U"/>
    <s v="U"/>
    <n v="2"/>
    <m/>
    <n v="6.7340067340067337E-3"/>
    <n v="9.0909090909090912E-2"/>
    <n v="0.18181818181818182"/>
    <x v="0"/>
    <x v="0"/>
    <s v="U"/>
  </r>
  <r>
    <n v="32"/>
    <s v="Week 21"/>
    <n v="21"/>
    <n v="21"/>
    <d v="1900-01-04T20:16:00"/>
    <d v="1899-12-30T03:02:00"/>
    <x v="1"/>
    <n v="22"/>
    <s v="Same"/>
    <s v="Corporate Governance-Conflicts, Mechanisms, Risks, and Benefits"/>
    <n v="1"/>
    <n v="3"/>
    <n v="2"/>
    <n v="1"/>
    <n v="1"/>
    <n v="3"/>
    <n v="3"/>
    <n v="3"/>
    <x v="31"/>
    <n v="43.665040987859307"/>
    <x v="0"/>
    <x v="0"/>
    <s v="U"/>
    <s v="U"/>
    <x v="0"/>
    <s v="U"/>
    <s v="U"/>
    <s v="U"/>
    <s v="U"/>
    <n v="2"/>
    <m/>
    <n v="1.2E-2"/>
    <n v="0.13636363636363635"/>
    <n v="0.27272727272727271"/>
    <x v="0"/>
    <x v="0"/>
    <s v="U"/>
  </r>
  <r>
    <n v="33"/>
    <s v="Week 22"/>
    <n v="22"/>
    <n v="22"/>
    <d v="1900-01-04T22:07:00"/>
    <d v="1899-12-30T01:51:00"/>
    <x v="1"/>
    <n v="26"/>
    <s v="Same"/>
    <s v="Business Models"/>
    <n v="1"/>
    <n v="2"/>
    <n v="2"/>
    <n v="1"/>
    <n v="2"/>
    <n v="3"/>
    <n v="3"/>
    <n v="3"/>
    <x v="32"/>
    <n v="44.240946352599373"/>
    <x v="0"/>
    <x v="0"/>
    <s v="U"/>
    <s v="U"/>
    <x v="0"/>
    <s v="U"/>
    <s v="U"/>
    <s v="U"/>
    <s v="U"/>
    <n v="2"/>
    <m/>
    <n v="1.0101010101010102E-2"/>
    <n v="0.13636363636363635"/>
    <n v="0.27272727272727271"/>
    <x v="0"/>
    <x v="0"/>
    <s v="U"/>
  </r>
  <r>
    <n v="34"/>
    <s v="Week 24"/>
    <n v="24"/>
    <n v="23"/>
    <d v="1900-01-05T11:51:00"/>
    <d v="1899-12-30T13:44:00"/>
    <x v="4"/>
    <s v="66 to 71"/>
    <s v="Same"/>
    <s v="Forwards and Futures"/>
    <n v="6"/>
    <n v="13"/>
    <n v="4"/>
    <n v="4"/>
    <n v="5"/>
    <n v="5"/>
    <n v="5"/>
    <n v="5"/>
    <x v="33"/>
    <n v="48.51613572688597"/>
    <x v="0"/>
    <x v="0"/>
    <s v="U"/>
    <s v="U"/>
    <x v="0"/>
    <s v="U"/>
    <s v="U"/>
    <s v="U"/>
    <s v="U"/>
    <n v="3"/>
    <m/>
    <n v="0.02"/>
    <n v="0.33333333333333331"/>
    <n v="1"/>
    <x v="0"/>
    <x v="0"/>
    <s v="U"/>
  </r>
  <r>
    <n v="35"/>
    <s v="Week 26"/>
    <n v="26"/>
    <n v="25"/>
    <d v="1900-01-05T23:54:00"/>
    <d v="1899-12-30T12:03:00"/>
    <x v="4"/>
    <s v="73 to 75"/>
    <s v="Same"/>
    <s v="Options"/>
    <n v="3"/>
    <n v="7"/>
    <n v="5"/>
    <n v="4"/>
    <n v="5"/>
    <n v="5"/>
    <n v="5"/>
    <n v="5"/>
    <x v="34"/>
    <n v="52.26730310262532"/>
    <x v="0"/>
    <x v="0"/>
    <s v="U"/>
    <s v="U"/>
    <x v="0"/>
    <s v="U"/>
    <s v="U"/>
    <s v="U"/>
    <s v="U"/>
    <n v="2"/>
    <m/>
    <n v="0.02"/>
    <n v="0.33333333333333331"/>
    <n v="0.66666666666666663"/>
    <x v="0"/>
    <x v="0"/>
    <s v="U"/>
  </r>
  <r>
    <n v="36"/>
    <s v="Week 27"/>
    <n v="27"/>
    <n v="27"/>
    <d v="1900-01-06T11:38:00"/>
    <d v="1899-12-30T11:44:00"/>
    <x v="5"/>
    <s v="52,53,55"/>
    <s v="Same"/>
    <s v="Fixed Income Valuation"/>
    <n v="3"/>
    <n v="8"/>
    <n v="5"/>
    <n v="4"/>
    <n v="4"/>
    <n v="5"/>
    <n v="5"/>
    <n v="5"/>
    <x v="35"/>
    <n v="55.919892082598331"/>
    <x v="0"/>
    <x v="0"/>
    <s v="U"/>
    <s v="U"/>
    <x v="0"/>
    <s v="U"/>
    <s v="U"/>
    <s v="U"/>
    <s v="U"/>
    <n v="3"/>
    <m/>
    <n v="1.6835016835016835E-2"/>
    <n v="9.8039215686274508E-2"/>
    <n v="0.29411764705882354"/>
    <x v="0"/>
    <x v="0"/>
    <s v="U"/>
  </r>
  <r>
    <n v="37"/>
    <s v="Week 28"/>
    <n v="28"/>
    <n v="28"/>
    <d v="1900-01-06T13:42:00"/>
    <d v="1899-12-30T02:04:00"/>
    <x v="5"/>
    <n v="54"/>
    <s v="Same"/>
    <s v="Yield and Yield Spread Measures for Floating-Rate Instruments"/>
    <n v="1"/>
    <n v="2"/>
    <n v="3"/>
    <n v="4"/>
    <n v="4"/>
    <n v="5"/>
    <n v="5"/>
    <n v="5"/>
    <x v="36"/>
    <n v="56.563245823389039"/>
    <x v="0"/>
    <x v="0"/>
    <s v="U"/>
    <s v="U"/>
    <x v="0"/>
    <s v="U"/>
    <s v="U"/>
    <s v="U"/>
    <s v="U"/>
    <n v="3"/>
    <m/>
    <n v="1.6835016835016835E-2"/>
    <n v="9.8039215686274508E-2"/>
    <n v="0.29411764705882354"/>
    <x v="0"/>
    <x v="0"/>
    <s v="U"/>
  </r>
  <r>
    <n v="38"/>
    <s v="Week 29"/>
    <n v="29"/>
    <n v="28"/>
    <d v="1900-01-06T23:58:00"/>
    <d v="1899-12-30T10:16:00"/>
    <x v="5"/>
    <s v="56 to 59"/>
    <s v="Same"/>
    <s v="Fixed Income Risk and Return"/>
    <n v="4"/>
    <n v="12"/>
    <n v="5"/>
    <n v="4"/>
    <n v="5"/>
    <n v="5"/>
    <n v="5"/>
    <n v="5"/>
    <x v="37"/>
    <n v="59.75926118086543"/>
    <x v="0"/>
    <x v="0"/>
    <s v="U"/>
    <s v="U"/>
    <x v="0"/>
    <s v="U"/>
    <s v="U"/>
    <s v="U"/>
    <s v="U"/>
    <n v="2"/>
    <m/>
    <n v="1.6835016835016835E-2"/>
    <n v="9.8039215686274508E-2"/>
    <n v="0.19607843137254902"/>
    <x v="0"/>
    <x v="0"/>
    <s v="U"/>
  </r>
  <r>
    <n v="39"/>
    <s v="Week 29"/>
    <n v="29"/>
    <n v="29"/>
    <d v="1900-01-07T01:25:00"/>
    <d v="1899-12-30T01:27:00"/>
    <x v="4"/>
    <n v="72"/>
    <s v="Same"/>
    <s v="Pricing and Valuation of Interest Rates and Other Swaps"/>
    <n v="1"/>
    <n v="2"/>
    <n v="5"/>
    <n v="4"/>
    <n v="5"/>
    <n v="5"/>
    <n v="5"/>
    <n v="5"/>
    <x v="38"/>
    <n v="60.21064646674278"/>
    <x v="0"/>
    <x v="0"/>
    <s v="U"/>
    <s v="U"/>
    <x v="0"/>
    <s v="U"/>
    <s v="U"/>
    <s v="U"/>
    <s v="U"/>
    <n v="2"/>
    <m/>
    <n v="0.02"/>
    <n v="0.33333333333333331"/>
    <n v="0.66666666666666663"/>
    <x v="0"/>
    <x v="0"/>
    <s v="U"/>
  </r>
  <r>
    <n v="40"/>
    <s v="Week 29"/>
    <n v="29"/>
    <n v="29"/>
    <d v="1900-01-07T02:36:00"/>
    <d v="1899-12-30T01:11:00"/>
    <x v="6"/>
    <n v="89"/>
    <s v="Same"/>
    <s v="Ethics and Trust in the Investment Profession"/>
    <n v="1"/>
    <n v="8"/>
    <n v="1"/>
    <n v="1"/>
    <n v="1"/>
    <n v="1"/>
    <n v="1"/>
    <n v="2"/>
    <x v="39"/>
    <n v="60.579018366711658"/>
    <x v="0"/>
    <x v="0"/>
    <s v="U"/>
    <s v="U"/>
    <x v="0"/>
    <s v="U"/>
    <s v="U"/>
    <s v="U"/>
    <s v="U"/>
    <n v="3"/>
    <m/>
    <n v="3.3670033670033669E-3"/>
    <n v="8.3333333333333329E-2"/>
    <n v="0.25"/>
    <x v="0"/>
    <x v="0"/>
    <s v="U"/>
  </r>
  <r>
    <n v="41"/>
    <s v="Week 30"/>
    <n v="30"/>
    <n v="30"/>
    <d v="1900-01-07T08:18:00"/>
    <d v="1899-12-30T05:42:00"/>
    <x v="6"/>
    <s v="90 to 91"/>
    <s v="Same"/>
    <s v="Ethics-Standards and Guidance"/>
    <n v="2"/>
    <n v="6"/>
    <n v="3"/>
    <n v="1"/>
    <n v="4"/>
    <n v="4"/>
    <n v="5"/>
    <n v="5"/>
    <x v="40"/>
    <n v="62.353429490505377"/>
    <x v="0"/>
    <x v="0"/>
    <s v="U"/>
    <s v="U"/>
    <x v="0"/>
    <s v="U"/>
    <s v="U"/>
    <s v="U"/>
    <s v="U"/>
    <n v="2"/>
    <m/>
    <n v="1.6835016835016835E-2"/>
    <n v="0.41666666666666669"/>
    <n v="0.83333333333333337"/>
    <x v="0"/>
    <x v="0"/>
    <s v="U"/>
  </r>
  <r>
    <n v="42"/>
    <s v="Week 30"/>
    <n v="30"/>
    <n v="30"/>
    <d v="1900-01-07T09:21:00"/>
    <d v="1899-12-30T01:03:00"/>
    <x v="6"/>
    <n v="93"/>
    <s v="Same"/>
    <s v="Ethics Application"/>
    <n v="1"/>
    <n v="2"/>
    <n v="1"/>
    <n v="1"/>
    <n v="2"/>
    <n v="4"/>
    <n v="2"/>
    <n v="2"/>
    <x v="41"/>
    <n v="62.680294697519997"/>
    <x v="0"/>
    <x v="0"/>
    <s v="U"/>
    <s v="U"/>
    <x v="0"/>
    <s v="U"/>
    <s v="U"/>
    <s v="U"/>
    <s v="U"/>
    <n v="3"/>
    <m/>
    <n v="6.7340067340067337E-3"/>
    <n v="0.16666666666666666"/>
    <n v="0.5"/>
    <x v="0"/>
    <x v="0"/>
    <s v="U"/>
  </r>
  <r>
    <n v="43"/>
    <s v="Week 31"/>
    <n v="31"/>
    <n v="31"/>
    <d v="1900-01-07T10:15:00"/>
    <d v="1899-12-30T00:54:00"/>
    <x v="6"/>
    <n v="92"/>
    <s v="Same"/>
    <s v="Introduction to the Global Investment Performance Standards"/>
    <n v="1"/>
    <n v="5"/>
    <n v="2"/>
    <n v="1"/>
    <n v="3"/>
    <n v="3"/>
    <n v="4"/>
    <n v="5"/>
    <x v="42"/>
    <n v="62.960464874961112"/>
    <x v="0"/>
    <x v="0"/>
    <s v="U"/>
    <s v="U"/>
    <x v="0"/>
    <s v="U"/>
    <s v="U"/>
    <s v="U"/>
    <s v="U"/>
    <n v="3"/>
    <m/>
    <n v="1.3468013468013467E-2"/>
    <n v="0.33333333333333331"/>
    <n v="1"/>
    <x v="0"/>
    <x v="0"/>
    <s v="U"/>
  </r>
  <r>
    <n v="44"/>
    <s v="Week 31"/>
    <n v="31"/>
    <n v="31"/>
    <d v="1900-01-07T11:48:00"/>
    <d v="1899-12-30T01:33:00"/>
    <x v="5"/>
    <n v="47"/>
    <s v="Same"/>
    <s v="Fixed-Income Instrument Features"/>
    <n v="1"/>
    <n v="2"/>
    <n v="3"/>
    <n v="1"/>
    <n v="3"/>
    <n v="3"/>
    <n v="3"/>
    <n v="3"/>
    <x v="43"/>
    <n v="63.44298018055413"/>
    <x v="0"/>
    <x v="0"/>
    <s v="U"/>
    <s v="U"/>
    <x v="0"/>
    <s v="U"/>
    <s v="U"/>
    <s v="U"/>
    <s v="U"/>
    <n v="3"/>
    <m/>
    <n v="1.0101010101010102E-2"/>
    <n v="5.8823529411764705E-2"/>
    <n v="0.1764705882352941"/>
    <x v="0"/>
    <x v="0"/>
    <s v="U"/>
  </r>
  <r>
    <n v="45"/>
    <s v="Week 32"/>
    <n v="32"/>
    <n v="32"/>
    <d v="1900-01-07T16:42:00"/>
    <d v="1899-12-30T04:54:00"/>
    <x v="5"/>
    <n v="60"/>
    <s v="Same"/>
    <s v="Credit Risk"/>
    <n v="1"/>
    <n v="3"/>
    <n v="4"/>
    <n v="2"/>
    <n v="3"/>
    <n v="3"/>
    <n v="3"/>
    <n v="3"/>
    <x v="44"/>
    <n v="64.96835114662241"/>
    <x v="0"/>
    <x v="0"/>
    <s v="U"/>
    <s v="U"/>
    <x v="0"/>
    <s v="U"/>
    <s v="U"/>
    <s v="U"/>
    <s v="U"/>
    <n v="2"/>
    <m/>
    <n v="1.0101010101010102E-2"/>
    <n v="5.8823529411764705E-2"/>
    <n v="0.11764705882352941"/>
    <x v="0"/>
    <x v="0"/>
    <s v="U"/>
  </r>
  <r>
    <n v="46"/>
    <s v="Week 32"/>
    <n v="32"/>
    <n v="32"/>
    <d v="1900-01-07T17:44:00"/>
    <d v="1899-12-30T01:02:00"/>
    <x v="5"/>
    <n v="61"/>
    <s v="Same"/>
    <s v="Credit Analysis for Government Issuers"/>
    <n v="1"/>
    <n v="1"/>
    <n v="4"/>
    <n v="2"/>
    <n v="3"/>
    <n v="3"/>
    <n v="3"/>
    <n v="3"/>
    <x v="45"/>
    <n v="65.290028017017775"/>
    <x v="0"/>
    <x v="0"/>
    <s v="U"/>
    <s v="U"/>
    <x v="0"/>
    <s v="U"/>
    <s v="U"/>
    <s v="U"/>
    <s v="U"/>
    <n v="2"/>
    <m/>
    <n v="1.2E-2"/>
    <n v="5.8823529411764705E-2"/>
    <n v="0.11764705882352941"/>
    <x v="0"/>
    <x v="0"/>
    <s v="U"/>
  </r>
  <r>
    <n v="47"/>
    <s v="Week 32"/>
    <n v="32"/>
    <n v="32"/>
    <d v="1900-01-07T19:47:00"/>
    <d v="1899-12-30T02:03:00"/>
    <x v="5"/>
    <n v="62"/>
    <s v="Same"/>
    <s v="Credit Analysis for Corporate Issuers"/>
    <n v="1"/>
    <n v="3"/>
    <n v="4"/>
    <n v="2"/>
    <n v="3"/>
    <n v="3"/>
    <n v="3"/>
    <n v="3"/>
    <x v="46"/>
    <n v="65.928193421189206"/>
    <x v="0"/>
    <x v="0"/>
    <s v="U"/>
    <s v="U"/>
    <x v="0"/>
    <s v="U"/>
    <s v="U"/>
    <s v="U"/>
    <s v="U"/>
    <n v="3"/>
    <m/>
    <n v="1.2E-2"/>
    <n v="5.8823529411764705E-2"/>
    <n v="0.1764705882352941"/>
    <x v="0"/>
    <x v="0"/>
    <s v="U"/>
  </r>
  <r>
    <n v="48"/>
    <s v="Week 35"/>
    <n v="35"/>
    <n v="34"/>
    <d v="1900-01-08T14:46:00"/>
    <d v="1899-12-30T02:17:00"/>
    <x v="5"/>
    <n v="64"/>
    <s v="Same"/>
    <s v="Asset-Backed Security Instrument and Market Features"/>
    <n v="1"/>
    <n v="4"/>
    <n v="5"/>
    <n v="2"/>
    <n v="5"/>
    <n v="5"/>
    <n v="4"/>
    <n v="5"/>
    <x v="47"/>
    <n v="66.638995538030542"/>
    <x v="0"/>
    <x v="0"/>
    <s v="U"/>
    <s v="U"/>
    <x v="0"/>
    <s v="U"/>
    <s v="U"/>
    <s v="U"/>
    <s v="U"/>
    <n v="3"/>
    <m/>
    <n v="1.3468013468013467E-2"/>
    <n v="7.8431372549019607E-2"/>
    <n v="0.23529411764705882"/>
    <x v="0"/>
    <x v="0"/>
    <s v="U"/>
  </r>
  <r>
    <n v="49"/>
    <s v="Week 33"/>
    <n v="33"/>
    <n v="32"/>
    <d v="1900-01-08T01:53:00"/>
    <d v="1899-12-30T03:49:00"/>
    <x v="5"/>
    <n v="48"/>
    <s v="Same"/>
    <s v="Fixed-Income Cash Flows and Types"/>
    <n v="1"/>
    <n v="2"/>
    <n v="3"/>
    <n v="1"/>
    <n v="3"/>
    <n v="3"/>
    <n v="3"/>
    <n v="3"/>
    <x v="48"/>
    <n v="67.82712462384562"/>
    <x v="0"/>
    <x v="0"/>
    <s v="U"/>
    <s v="U"/>
    <x v="0"/>
    <s v="U"/>
    <s v="U"/>
    <s v="U"/>
    <s v="U"/>
    <n v="3"/>
    <m/>
    <n v="1.2E-2"/>
    <n v="5.8823529411764705E-2"/>
    <n v="0.1764705882352941"/>
    <x v="0"/>
    <x v="0"/>
    <s v="U"/>
  </r>
  <r>
    <n v="50"/>
    <s v="Week 33"/>
    <n v="33"/>
    <n v="33"/>
    <d v="1900-01-08T03:41:00"/>
    <d v="1899-12-30T01:48:00"/>
    <x v="5"/>
    <n v="49"/>
    <s v="Same"/>
    <s v="Fixed-Income Issuance and Trading"/>
    <n v="1"/>
    <n v="3"/>
    <n v="2"/>
    <n v="1"/>
    <n v="3"/>
    <n v="3"/>
    <n v="3"/>
    <n v="3"/>
    <x v="49"/>
    <n v="68.387464978727849"/>
    <x v="0"/>
    <x v="0"/>
    <s v="U"/>
    <s v="U"/>
    <x v="0"/>
    <s v="U"/>
    <s v="U"/>
    <s v="U"/>
    <s v="U"/>
    <n v="3"/>
    <m/>
    <n v="1.2E-2"/>
    <n v="5.8823529411764705E-2"/>
    <n v="0.1764705882352941"/>
    <x v="0"/>
    <x v="0"/>
    <s v="U"/>
  </r>
  <r>
    <n v="51"/>
    <s v="Week 34"/>
    <n v="34"/>
    <n v="34"/>
    <d v="1900-01-08T06:30:00"/>
    <d v="1899-12-30T02:49:00"/>
    <x v="5"/>
    <n v="50"/>
    <s v="Same"/>
    <s v="Fixed-Income Markets for Corporate Issuers"/>
    <n v="1"/>
    <n v="3"/>
    <n v="2"/>
    <n v="1"/>
    <n v="3"/>
    <n v="3"/>
    <n v="3"/>
    <n v="3"/>
    <x v="50"/>
    <n v="69.264293867386144"/>
    <x v="0"/>
    <x v="0"/>
    <s v="U"/>
    <s v="U"/>
    <x v="0"/>
    <s v="U"/>
    <s v="U"/>
    <s v="U"/>
    <s v="U"/>
    <n v="3"/>
    <m/>
    <n v="1.2E-2"/>
    <n v="5.8823529411764705E-2"/>
    <n v="0.1764705882352941"/>
    <x v="0"/>
    <x v="0"/>
    <s v="U"/>
  </r>
  <r>
    <n v="52"/>
    <s v="Week 34"/>
    <n v="34"/>
    <n v="34"/>
    <d v="1900-01-08T09:03:00"/>
    <d v="1899-12-30T02:33:00"/>
    <x v="5"/>
    <n v="51"/>
    <s v="Same"/>
    <s v="Fixed-Income Markets for Government Issuers"/>
    <n v="1"/>
    <n v="2"/>
    <n v="2"/>
    <n v="1"/>
    <n v="3"/>
    <n v="3"/>
    <n v="3"/>
    <n v="3"/>
    <x v="51"/>
    <n v="70.058109370135952"/>
    <x v="0"/>
    <x v="0"/>
    <s v="U"/>
    <s v="U"/>
    <x v="0"/>
    <s v="U"/>
    <s v="U"/>
    <s v="U"/>
    <s v="U"/>
    <n v="2"/>
    <m/>
    <n v="1.0101010101010102E-2"/>
    <n v="5.8823529411764705E-2"/>
    <n v="0.11764705882352941"/>
    <x v="0"/>
    <x v="0"/>
    <s v="U"/>
  </r>
  <r>
    <n v="53"/>
    <s v="Week 34"/>
    <n v="34"/>
    <n v="34"/>
    <d v="1900-01-08T11:31:00"/>
    <d v="1899-12-30T02:28:00"/>
    <x v="5"/>
    <n v="63"/>
    <s v="Same"/>
    <s v="Fixed-Income Securitization"/>
    <n v="1"/>
    <n v="2"/>
    <n v="5"/>
    <n v="2"/>
    <n v="5"/>
    <n v="5"/>
    <n v="4"/>
    <n v="5"/>
    <x v="52"/>
    <n v="70.825983189789383"/>
    <x v="0"/>
    <x v="0"/>
    <s v="U"/>
    <s v="U"/>
    <x v="0"/>
    <s v="U"/>
    <s v="U"/>
    <s v="U"/>
    <s v="U"/>
    <n v="2"/>
    <m/>
    <n v="1.3468013468013467E-2"/>
    <n v="7.8431372549019607E-2"/>
    <n v="0.15686274509803921"/>
    <x v="0"/>
    <x v="0"/>
    <s v="U"/>
  </r>
  <r>
    <n v="54"/>
    <s v="Week 35"/>
    <n v="35"/>
    <n v="35"/>
    <d v="1900-01-08T14:46:00"/>
    <d v="1899-12-30T03:15:00"/>
    <x v="5"/>
    <n v="65"/>
    <s v="Same"/>
    <s v="Mortgage-Backed Security Instrument and Market Features"/>
    <n v="1"/>
    <n v="4"/>
    <n v="5"/>
    <n v="2"/>
    <n v="5"/>
    <n v="5"/>
    <n v="4"/>
    <n v="5"/>
    <x v="53"/>
    <n v="71.837708830548934"/>
    <x v="0"/>
    <x v="0"/>
    <s v="U"/>
    <s v="U"/>
    <x v="0"/>
    <s v="U"/>
    <s v="U"/>
    <s v="U"/>
    <s v="U"/>
    <n v="2"/>
    <m/>
    <n v="1.3468013468013467E-2"/>
    <n v="7.8431372549019607E-2"/>
    <n v="0.15686274509803921"/>
    <x v="0"/>
    <x v="0"/>
    <s v="U"/>
  </r>
  <r>
    <n v="55"/>
    <s v="Week 35"/>
    <n v="35"/>
    <n v="35"/>
    <d v="1900-01-08T16:42:00"/>
    <d v="1899-12-30T01:56:00"/>
    <x v="7"/>
    <n v="16"/>
    <s v="Same"/>
    <s v="Introduction to Geopolitics"/>
    <n v="1"/>
    <n v="6"/>
    <n v="2"/>
    <n v="1"/>
    <n v="2"/>
    <n v="3"/>
    <n v="3"/>
    <n v="3"/>
    <x v="54"/>
    <n v="72.439555878385406"/>
    <x v="0"/>
    <x v="0"/>
    <s v="U"/>
    <s v="U"/>
    <x v="0"/>
    <s v="U"/>
    <s v="U"/>
    <s v="U"/>
    <s v="U"/>
    <n v="2"/>
    <m/>
    <n v="1.0101010101010102E-2"/>
    <n v="0.10344827586206896"/>
    <n v="0.20689655172413793"/>
    <x v="0"/>
    <x v="0"/>
    <s v="U"/>
  </r>
  <r>
    <n v="56"/>
    <s v="Week 36"/>
    <n v="36"/>
    <n v="36"/>
    <d v="1900-01-08T19:59:00"/>
    <d v="1899-12-30T03:17:00"/>
    <x v="7"/>
    <s v="17,PR13"/>
    <s v="Same"/>
    <s v="International Trade and Capital Flows"/>
    <n v="2"/>
    <n v="9"/>
    <n v="4"/>
    <n v="3"/>
    <n v="4"/>
    <n v="3"/>
    <n v="4"/>
    <n v="3"/>
    <x v="55"/>
    <n v="73.461658192383553"/>
    <x v="0"/>
    <x v="0"/>
    <s v="U"/>
    <s v="U"/>
    <x v="0"/>
    <s v="U"/>
    <s v="U"/>
    <s v="U"/>
    <s v="U"/>
    <n v="2"/>
    <m/>
    <n v="1.6E-2"/>
    <n v="0.13793103448275862"/>
    <n v="0.27586206896551724"/>
    <x v="0"/>
    <x v="0"/>
    <s v="U"/>
  </r>
  <r>
    <n v="57"/>
    <s v="Week 36"/>
    <n v="36"/>
    <n v="36"/>
    <d v="1900-01-09T00:25:00"/>
    <d v="1899-12-30T04:26:00"/>
    <x v="7"/>
    <s v="18,19,PR14"/>
    <s v="Same"/>
    <s v="Currency Exchange Rate"/>
    <n v="3"/>
    <n v="9"/>
    <n v="4"/>
    <n v="4"/>
    <n v="5"/>
    <n v="5"/>
    <n v="5"/>
    <n v="4"/>
    <x v="56"/>
    <n v="74.841755733111981"/>
    <x v="0"/>
    <x v="0"/>
    <s v="U"/>
    <s v="U"/>
    <x v="0"/>
    <s v="U"/>
    <s v="U"/>
    <s v="U"/>
    <s v="U"/>
    <n v="3"/>
    <m/>
    <n v="0.02"/>
    <n v="0.17241379310344829"/>
    <n v="0.51724137931034486"/>
    <x v="0"/>
    <x v="0"/>
    <s v="U"/>
  </r>
  <r>
    <n v="58"/>
    <s v="Week 38"/>
    <n v="38"/>
    <n v="37"/>
    <d v="1900-01-09T09:41:00"/>
    <d v="1899-12-30T09:16:00"/>
    <x v="8"/>
    <s v="83-84"/>
    <s v="Same"/>
    <s v="Portfolio Risk and Return-I and II"/>
    <n v="2"/>
    <n v="16"/>
    <n v="5"/>
    <n v="4"/>
    <n v="5"/>
    <n v="4"/>
    <n v="5"/>
    <n v="4"/>
    <x v="57"/>
    <n v="77.726470893431582"/>
    <x v="0"/>
    <x v="0"/>
    <s v="U"/>
    <s v="U"/>
    <x v="0"/>
    <s v="U"/>
    <s v="U"/>
    <s v="U"/>
    <s v="U"/>
    <n v="2"/>
    <m/>
    <n v="0.02"/>
    <n v="0.25"/>
    <n v="0.5"/>
    <x v="0"/>
    <x v="0"/>
    <s v="U"/>
  </r>
  <r>
    <n v="59"/>
    <s v="Week 38"/>
    <n v="38"/>
    <n v="38"/>
    <d v="1900-01-09T14:11:00"/>
    <d v="1899-12-30T04:30:00"/>
    <x v="7"/>
    <s v="12,PR8"/>
    <s v="Same"/>
    <s v="Demand and Supply, Market Structures"/>
    <n v="1.5"/>
    <n v="10"/>
    <n v="4"/>
    <n v="2"/>
    <n v="2"/>
    <n v="2"/>
    <n v="3"/>
    <n v="3"/>
    <x v="58"/>
    <n v="79.127321780637146"/>
    <x v="0"/>
    <x v="0"/>
    <s v="U"/>
    <s v="U"/>
    <x v="0"/>
    <s v="U"/>
    <s v="U"/>
    <s v="U"/>
    <s v="U"/>
    <n v="3"/>
    <m/>
    <n v="1.2E-2"/>
    <n v="0.10344827586206896"/>
    <n v="0.31034482758620691"/>
    <x v="0"/>
    <x v="0"/>
    <s v="U"/>
  </r>
  <r>
    <n v="60"/>
    <s v="Week 39"/>
    <n v="39"/>
    <n v="39"/>
    <d v="1900-01-09T18:41:00"/>
    <d v="1899-12-30T04:30:00"/>
    <x v="7"/>
    <s v="12,PR9"/>
    <s v="Same"/>
    <s v="Market Organization and Structures"/>
    <n v="1.5"/>
    <n v="11"/>
    <n v="5"/>
    <n v="2"/>
    <n v="3"/>
    <n v="2"/>
    <n v="4"/>
    <n v="3"/>
    <x v="58"/>
    <n v="80.528172667842711"/>
    <x v="0"/>
    <x v="0"/>
    <s v="U"/>
    <s v="U"/>
    <x v="0"/>
    <s v="U"/>
    <s v="U"/>
    <s v="U"/>
    <s v="U"/>
    <n v="3"/>
    <m/>
    <n v="1.6E-2"/>
    <n v="0.13793103448275862"/>
    <n v="0.41379310344827586"/>
    <x v="0"/>
    <x v="0"/>
    <s v="U"/>
  </r>
  <r>
    <n v="61"/>
    <s v="Week 40"/>
    <n v="40"/>
    <n v="40"/>
    <d v="1900-01-10T00:44:00"/>
    <d v="1899-12-30T06:03:00"/>
    <x v="7"/>
    <s v="PR10"/>
    <s v="Same"/>
    <s v="Aggregate Output, Prices, and Economic Growth"/>
    <n v="1"/>
    <n v="15"/>
    <n v="4"/>
    <n v="2"/>
    <n v="4"/>
    <n v="4"/>
    <n v="3"/>
    <n v="4"/>
    <x v="59"/>
    <n v="82.411538860641301"/>
    <x v="0"/>
    <x v="0"/>
    <s v="U"/>
    <s v="U"/>
    <x v="0"/>
    <s v="U"/>
    <s v="U"/>
    <s v="U"/>
    <s v="U"/>
    <n v="3"/>
    <m/>
    <n v="1.2E-2"/>
    <n v="0.10344827586206896"/>
    <n v="0.31034482758620691"/>
    <x v="0"/>
    <x v="0"/>
    <s v="U"/>
  </r>
  <r>
    <n v="62"/>
    <s v="Week 40"/>
    <n v="40"/>
    <n v="40"/>
    <d v="1900-01-10T04:09:00"/>
    <d v="1899-12-30T03:25:00"/>
    <x v="8"/>
    <n v="85"/>
    <s v="Same"/>
    <s v="Portfolio Management-An Overview"/>
    <n v="1"/>
    <n v="6"/>
    <n v="2"/>
    <n v="1"/>
    <n v="2"/>
    <n v="2"/>
    <n v="3"/>
    <n v="3"/>
    <x v="60"/>
    <n v="83.475147867593662"/>
    <x v="0"/>
    <x v="0"/>
    <s v="U"/>
    <s v="U"/>
    <x v="0"/>
    <s v="U"/>
    <s v="U"/>
    <s v="U"/>
    <s v="U"/>
    <n v="2"/>
    <m/>
    <n v="1.2E-2"/>
    <n v="0.15"/>
    <n v="0.3"/>
    <x v="0"/>
    <x v="0"/>
    <s v="U"/>
  </r>
  <r>
    <n v="63"/>
    <s v="Week 41"/>
    <n v="41"/>
    <n v="41"/>
    <d v="1900-01-10T06:39:00"/>
    <d v="1899-12-30T02:30:00"/>
    <x v="8"/>
    <n v="86"/>
    <s v="Same"/>
    <s v="Basics of Portfolio Planning and Construction"/>
    <n v="1"/>
    <n v="8"/>
    <n v="2"/>
    <n v="1"/>
    <n v="3"/>
    <n v="2"/>
    <n v="4"/>
    <n v="3"/>
    <x v="61"/>
    <n v="84.253398360485647"/>
    <x v="0"/>
    <x v="0"/>
    <s v="U"/>
    <s v="U"/>
    <x v="0"/>
    <s v="U"/>
    <s v="U"/>
    <s v="U"/>
    <s v="U"/>
    <n v="3"/>
    <m/>
    <n v="1.6E-2"/>
    <n v="0.2"/>
    <n v="0.60000000000000009"/>
    <x v="0"/>
    <x v="0"/>
    <s v="U"/>
  </r>
  <r>
    <n v="64"/>
    <s v="Week 41"/>
    <n v="41"/>
    <n v="41"/>
    <d v="1900-01-10T10:03:00"/>
    <d v="1899-12-30T03:24:00"/>
    <x v="8"/>
    <n v="87"/>
    <s v="Same"/>
    <s v="The Behavioral Biases of Individuals"/>
    <n v="1"/>
    <n v="3"/>
    <n v="2"/>
    <n v="1"/>
    <n v="3"/>
    <n v="4"/>
    <n v="4"/>
    <n v="4"/>
    <x v="13"/>
    <n v="85.311819030818754"/>
    <x v="0"/>
    <x v="0"/>
    <s v="U"/>
    <s v="U"/>
    <x v="0"/>
    <s v="U"/>
    <s v="U"/>
    <s v="U"/>
    <s v="U"/>
    <n v="3"/>
    <m/>
    <n v="1.6E-2"/>
    <n v="0.2"/>
    <n v="0.60000000000000009"/>
    <x v="0"/>
    <x v="0"/>
    <s v="U"/>
  </r>
  <r>
    <n v="65"/>
    <s v="Week 42"/>
    <n v="42"/>
    <n v="42"/>
    <d v="1900-01-10T11:16:00"/>
    <d v="1899-12-30T01:13:00"/>
    <x v="0"/>
    <n v="11"/>
    <s v="Same"/>
    <s v="Introduction to Big Data Techniques"/>
    <n v="1"/>
    <n v="3"/>
    <n v="3"/>
    <n v="1"/>
    <n v="3"/>
    <n v="3"/>
    <n v="2"/>
    <n v="3"/>
    <x v="62"/>
    <n v="85.690567604026171"/>
    <x v="0"/>
    <x v="0"/>
    <s v="U"/>
    <s v="U"/>
    <x v="0"/>
    <s v="U"/>
    <s v="U"/>
    <s v="U"/>
    <s v="U"/>
    <n v="2"/>
    <m/>
    <n v="6.7340067340067337E-3"/>
    <n v="4.5454545454545456E-2"/>
    <n v="9.0909090909090912E-2"/>
    <x v="0"/>
    <x v="0"/>
    <s v="U"/>
  </r>
  <r>
    <n v="66"/>
    <s v="Week 42"/>
    <n v="42"/>
    <n v="42"/>
    <d v="1900-01-10T12:51:00"/>
    <d v="1899-12-30T01:35:00"/>
    <x v="8"/>
    <n v="88"/>
    <s v="Same"/>
    <s v="Introduction to Risk Management"/>
    <n v="1"/>
    <n v="7"/>
    <n v="4"/>
    <n v="1"/>
    <n v="4"/>
    <n v="4"/>
    <n v="4"/>
    <n v="3"/>
    <x v="63"/>
    <n v="86.183459582857751"/>
    <x v="0"/>
    <x v="0"/>
    <s v="U"/>
    <s v="U"/>
    <x v="0"/>
    <s v="U"/>
    <s v="U"/>
    <s v="U"/>
    <s v="U"/>
    <n v="3"/>
    <m/>
    <n v="1.6E-2"/>
    <n v="0.2"/>
    <n v="0.60000000000000009"/>
    <x v="0"/>
    <x v="0"/>
    <s v="U"/>
  </r>
  <r>
    <n v="67"/>
    <s v="Week 42"/>
    <n v="42"/>
    <n v="42"/>
    <d v="1900-01-10T17:21:00"/>
    <d v="1899-12-30T04:30:00"/>
    <x v="7"/>
    <s v="13,PR11"/>
    <s v="Same"/>
    <s v="Introduction to Business Cycles"/>
    <n v="2"/>
    <n v="9"/>
    <n v="3"/>
    <n v="2"/>
    <n v="4"/>
    <n v="4"/>
    <n v="4"/>
    <n v="4"/>
    <x v="58"/>
    <n v="87.584310470063315"/>
    <x v="0"/>
    <x v="0"/>
    <s v="U"/>
    <s v="U"/>
    <x v="0"/>
    <s v="U"/>
    <s v="U"/>
    <s v="U"/>
    <s v="U"/>
    <n v="3"/>
    <m/>
    <n v="1.6E-2"/>
    <n v="0.13793103448275862"/>
    <n v="0.41379310344827586"/>
    <x v="0"/>
    <x v="0"/>
    <s v="U"/>
  </r>
  <r>
    <n v="68"/>
    <s v="Week 43"/>
    <n v="43"/>
    <n v="43"/>
    <d v="1900-01-11T00:05:00"/>
    <d v="1899-12-30T06:44:00"/>
    <x v="7"/>
    <s v="14,15,PR12"/>
    <s v="Same"/>
    <s v="Monetary and Fiscal Policy"/>
    <n v="3"/>
    <n v="14"/>
    <n v="4"/>
    <n v="2"/>
    <n v="4"/>
    <n v="4"/>
    <n v="3"/>
    <n v="4"/>
    <x v="64"/>
    <n v="89.680398464252377"/>
    <x v="0"/>
    <x v="0"/>
    <s v="U"/>
    <s v="U"/>
    <x v="0"/>
    <s v="U"/>
    <s v="U"/>
    <s v="U"/>
    <s v="U"/>
    <n v="2"/>
    <m/>
    <n v="1.2E-2"/>
    <n v="0.10344827586206896"/>
    <n v="0.20689655172413793"/>
    <x v="0"/>
    <x v="0"/>
    <s v="U"/>
  </r>
  <r>
    <n v="69"/>
    <s v="Week 44"/>
    <n v="44"/>
    <n v="44"/>
    <d v="1900-01-11T05:35:00"/>
    <d v="1899-12-30T05:30:00"/>
    <x v="9"/>
    <n v="44"/>
    <s v="Same"/>
    <s v="Industry and Competitive Analysis"/>
    <n v="1"/>
    <n v="5"/>
    <n v="3"/>
    <n v="1"/>
    <n v="2"/>
    <n v="2"/>
    <n v="4"/>
    <n v="3"/>
    <x v="65"/>
    <n v="91.392549548614724"/>
    <x v="0"/>
    <x v="0"/>
    <s v="U"/>
    <s v="U"/>
    <x v="0"/>
    <s v="U"/>
    <s v="U"/>
    <s v="U"/>
    <s v="U"/>
    <n v="3"/>
    <m/>
    <n v="1.6E-2"/>
    <n v="0.12903225806451613"/>
    <n v="0.38709677419354838"/>
    <x v="0"/>
    <x v="0"/>
    <s v="U"/>
  </r>
  <r>
    <n v="70"/>
    <s v="Week 45"/>
    <n v="45"/>
    <n v="45"/>
    <d v="1900-01-11T09:42:00"/>
    <d v="1899-12-30T04:07:00"/>
    <x v="9"/>
    <n v="43"/>
    <s v="Same"/>
    <s v="Company Analysis-Past and Present"/>
    <n v="1"/>
    <n v="5"/>
    <n v="3"/>
    <n v="3"/>
    <n v="3"/>
    <n v="3"/>
    <n v="4"/>
    <n v="4"/>
    <x v="66"/>
    <n v="92.674068693576857"/>
    <x v="0"/>
    <x v="0"/>
    <s v="U"/>
    <s v="U"/>
    <x v="0"/>
    <s v="U"/>
    <s v="U"/>
    <s v="U"/>
    <s v="U"/>
    <n v="2"/>
    <m/>
    <n v="1.6E-2"/>
    <n v="0.12903225806451613"/>
    <n v="0.25806451612903225"/>
    <x v="0"/>
    <x v="0"/>
    <s v="U"/>
  </r>
  <r>
    <n v="71"/>
    <s v="Week 45"/>
    <n v="45"/>
    <n v="45"/>
    <d v="1900-01-11T13:32:00"/>
    <d v="1899-12-30T03:50:00"/>
    <x v="9"/>
    <n v="45"/>
    <s v="Same"/>
    <s v="Company Analysis-Forecasting"/>
    <n v="1"/>
    <n v="5"/>
    <n v="3"/>
    <n v="2"/>
    <n v="3"/>
    <n v="3"/>
    <n v="4"/>
    <n v="4"/>
    <x v="11"/>
    <n v="93.867386116011204"/>
    <x v="0"/>
    <x v="0"/>
    <s v="U"/>
    <s v="U"/>
    <x v="0"/>
    <s v="U"/>
    <s v="U"/>
    <s v="U"/>
    <s v="U"/>
    <n v="2"/>
    <m/>
    <n v="1.6E-2"/>
    <n v="0.12903225806451613"/>
    <n v="0.25806451612903225"/>
    <x v="0"/>
    <x v="0"/>
    <s v="U"/>
  </r>
  <r>
    <n v="72"/>
    <s v="Week 47"/>
    <n v="47"/>
    <n v="46"/>
    <d v="1900-01-11T20:57:00"/>
    <d v="1899-12-30T07:25:00"/>
    <x v="9"/>
    <n v="46"/>
    <s v="Same"/>
    <s v="Equity Valuation-Concepts and Basic Tools"/>
    <n v="1"/>
    <n v="13"/>
    <n v="5"/>
    <n v="4"/>
    <n v="4"/>
    <n v="4"/>
    <n v="5"/>
    <n v="4"/>
    <x v="67"/>
    <n v="96.176195911590753"/>
    <x v="0"/>
    <x v="0"/>
    <s v="U"/>
    <s v="U"/>
    <x v="0"/>
    <s v="U"/>
    <s v="U"/>
    <s v="U"/>
    <s v="U"/>
    <n v="2"/>
    <m/>
    <n v="0.02"/>
    <n v="0.16129032258064516"/>
    <n v="0.32258064516129031"/>
    <x v="0"/>
    <x v="0"/>
    <s v="U"/>
  </r>
  <r>
    <n v="73"/>
    <s v="Week 47"/>
    <n v="47"/>
    <n v="47"/>
    <d v="1900-01-12T01:55:00"/>
    <d v="1899-12-30T04:58:00"/>
    <x v="9"/>
    <n v="39"/>
    <s v="Same"/>
    <s v="Market Organization and Structure"/>
    <n v="1"/>
    <n v="12"/>
    <n v="4"/>
    <n v="2"/>
    <n v="2"/>
    <n v="2"/>
    <n v="3"/>
    <n v="4"/>
    <x v="68"/>
    <n v="97.722320224136155"/>
    <x v="0"/>
    <x v="0"/>
    <s v="U"/>
    <s v="U"/>
    <x v="0"/>
    <s v="U"/>
    <s v="U"/>
    <s v="U"/>
    <s v="U"/>
    <n v="3"/>
    <m/>
    <n v="1.2E-2"/>
    <n v="9.6774193548387094E-2"/>
    <n v="0.29032258064516125"/>
    <x v="0"/>
    <x v="0"/>
    <s v="U"/>
  </r>
  <r>
    <n v="74"/>
    <s v="Week 48"/>
    <n v="48"/>
    <n v="48"/>
    <d v="1900-01-12T04:00:00"/>
    <d v="1899-12-30T02:05:00"/>
    <x v="9"/>
    <n v="42"/>
    <s v="Same"/>
    <s v="Overview of Equity Securities"/>
    <n v="1"/>
    <n v="8"/>
    <n v="2"/>
    <n v="1"/>
    <n v="2"/>
    <n v="1"/>
    <n v="3"/>
    <n v="4"/>
    <x v="3"/>
    <n v="98.370862301546126"/>
    <x v="0"/>
    <x v="0"/>
    <s v="U"/>
    <s v="U"/>
    <x v="0"/>
    <s v="U"/>
    <s v="U"/>
    <s v="U"/>
    <s v="U"/>
    <n v="2"/>
    <m/>
    <n v="1.2E-2"/>
    <n v="9.6774193548387094E-2"/>
    <n v="0.19354838709677419"/>
    <x v="0"/>
    <x v="0"/>
    <s v="U"/>
  </r>
  <r>
    <n v="75"/>
    <s v="Week 48"/>
    <n v="48"/>
    <n v="48"/>
    <d v="1900-01-12T06:28:00"/>
    <d v="1899-12-30T02:28:00"/>
    <x v="9"/>
    <n v="40"/>
    <s v="Same"/>
    <s v="Security Market Indexes"/>
    <n v="1"/>
    <n v="11"/>
    <n v="3"/>
    <n v="4"/>
    <n v="4"/>
    <n v="4"/>
    <n v="4"/>
    <n v="4"/>
    <x v="52"/>
    <n v="99.138736121199543"/>
    <x v="0"/>
    <x v="0"/>
    <s v="U"/>
    <s v="U"/>
    <x v="0"/>
    <s v="U"/>
    <s v="U"/>
    <s v="U"/>
    <s v="U"/>
    <n v="2"/>
    <m/>
    <n v="1.6E-2"/>
    <n v="0.12903225806451613"/>
    <n v="0.25806451612903225"/>
    <x v="0"/>
    <x v="0"/>
    <s v="U"/>
  </r>
  <r>
    <n v="76"/>
    <s v="Week 48"/>
    <n v="48"/>
    <n v="48"/>
    <d v="1900-01-12T09:12:00"/>
    <d v="1899-12-30T02:44:00"/>
    <x v="9"/>
    <n v="41"/>
    <s v="Same"/>
    <s v="Market Efficiency"/>
    <n v="1"/>
    <n v="7"/>
    <n v="2"/>
    <n v="1"/>
    <n v="4"/>
    <n v="3"/>
    <n v="4"/>
    <n v="4"/>
    <x v="27"/>
    <n v="99.989623326761446"/>
    <x v="0"/>
    <x v="0"/>
    <s v="U"/>
    <s v="U"/>
    <x v="0"/>
    <s v="U"/>
    <s v="U"/>
    <s v="U"/>
    <s v="U"/>
    <n v="3"/>
    <m/>
    <n v="1.6E-2"/>
    <n v="0.12903225806451613"/>
    <n v="0.38709677419354838"/>
    <x v="0"/>
    <x v="0"/>
    <s v="U"/>
  </r>
  <r>
    <n v="77"/>
    <s v="Week 48"/>
    <n v="48"/>
    <n v="48"/>
    <d v="1900-01-12T09:14:00"/>
    <d v="1899-12-30T00:02:00"/>
    <x v="0"/>
    <n v="2"/>
    <s v="Same"/>
    <s v="Time Value of Money in Finance"/>
    <n v="1"/>
    <n v="3"/>
    <n v="4"/>
    <n v="5"/>
    <n v="4"/>
    <n v="5"/>
    <n v="5"/>
    <n v="4"/>
    <x v="69"/>
    <n v="100"/>
    <x v="0"/>
    <x v="0"/>
    <s v="U"/>
    <s v="U"/>
    <x v="0"/>
    <s v="U"/>
    <s v="U"/>
    <s v="U"/>
    <s v="U"/>
    <n v="2"/>
    <m/>
    <n v="0.02"/>
    <n v="0.11363636363636363"/>
    <n v="0.22727272727272727"/>
    <x v="0"/>
    <x v="0"/>
    <s v="U"/>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6725A16-ED4B-4704-8297-541E63709C05}" name="PivotTable4" cacheId="10"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6">
  <location ref="B92:C94" firstHeaderRow="1" firstDataRow="1" firstDataCol="1"/>
  <pivotFields count="39">
    <pivotField numFmtId="3" showAll="0"/>
    <pivotField showAll="0"/>
    <pivotField numFmtId="3" showAll="0"/>
    <pivotField numFmtId="169" showAll="0"/>
    <pivotField showAll="0"/>
    <pivotField showAll="0"/>
    <pivotField showAll="0">
      <items count="20">
        <item x="3"/>
        <item m="1" x="16"/>
        <item x="1"/>
        <item m="1" x="18"/>
        <item x="4"/>
        <item x="7"/>
        <item m="1" x="14"/>
        <item x="9"/>
        <item x="6"/>
        <item x="5"/>
        <item m="1" x="17"/>
        <item x="2"/>
        <item m="1" x="13"/>
        <item m="1" x="15"/>
        <item m="1" x="10"/>
        <item x="8"/>
        <item m="1" x="11"/>
        <item x="0"/>
        <item m="1" x="12"/>
        <item t="default"/>
      </items>
    </pivotField>
    <pivotField showAll="0"/>
    <pivotField showAll="0"/>
    <pivotField showAll="0"/>
    <pivotField dataField="1" showAll="0"/>
    <pivotField showAll="0"/>
    <pivotField showAll="0"/>
    <pivotField showAll="0"/>
    <pivotField showAll="0"/>
    <pivotField showAll="0"/>
    <pivotField showAll="0"/>
    <pivotField showAll="0"/>
    <pivotField numFmtId="20" showAll="0">
      <items count="63">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0"/>
        <item x="61"/>
        <item t="default"/>
      </items>
    </pivotField>
    <pivotField numFmtId="3" showAll="0"/>
    <pivotField showAll="0"/>
    <pivotField showAll="0"/>
    <pivotField showAll="0"/>
    <pivotField showAll="0"/>
    <pivotField axis="axisRow" showAll="0">
      <items count="3">
        <item m="1" x="1"/>
        <item x="0"/>
        <item t="default"/>
      </items>
    </pivotField>
    <pivotField showAll="0"/>
    <pivotField showAll="0"/>
    <pivotField showAll="0"/>
    <pivotField showAll="0"/>
    <pivotField showAll="0"/>
    <pivotField showAll="0"/>
    <pivotField numFmtId="9" showAll="0"/>
    <pivotField numFmtId="9" showAll="0"/>
    <pivotField numFmtId="4" showAll="0"/>
    <pivotField showAll="0"/>
    <pivotField showAll="0"/>
    <pivotField showAll="0"/>
    <pivotField showAll="0">
      <items count="63">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x="0"/>
        <item x="61"/>
        <item t="default"/>
      </items>
    </pivotField>
    <pivotField showAll="0">
      <items count="27">
        <item x="0"/>
        <item x="1"/>
        <item x="2"/>
        <item x="3"/>
        <item x="4"/>
        <item x="5"/>
        <item x="6"/>
        <item x="7"/>
        <item x="8"/>
        <item x="9"/>
        <item x="10"/>
        <item x="11"/>
        <item x="12"/>
        <item x="13"/>
        <item x="14"/>
        <item x="15"/>
        <item x="16"/>
        <item x="17"/>
        <item x="18"/>
        <item x="19"/>
        <item x="20"/>
        <item x="21"/>
        <item x="22"/>
        <item x="23"/>
        <item x="24"/>
        <item x="25"/>
        <item t="default"/>
      </items>
    </pivotField>
  </pivotFields>
  <rowFields count="1">
    <field x="24"/>
  </rowFields>
  <rowItems count="2">
    <i>
      <x v="1"/>
    </i>
    <i t="grand">
      <x/>
    </i>
  </rowItems>
  <colItems count="1">
    <i/>
  </colItems>
  <dataFields count="1">
    <dataField name="Sum of No. of Chapters" fld="10" baseField="0" baseItem="0"/>
  </dataFields>
  <formats count="6">
    <format dxfId="53">
      <pivotArea type="all" dataOnly="0" outline="0" fieldPosition="0"/>
    </format>
    <format dxfId="52">
      <pivotArea outline="0" collapsedLevelsAreSubtotals="1" fieldPosition="0"/>
    </format>
    <format dxfId="51">
      <pivotArea field="24" type="button" dataOnly="0" labelOnly="1" outline="0" axis="axisRow" fieldPosition="0"/>
    </format>
    <format dxfId="50">
      <pivotArea dataOnly="0" labelOnly="1" fieldPosition="0">
        <references count="1">
          <reference field="24" count="0"/>
        </references>
      </pivotArea>
    </format>
    <format dxfId="49">
      <pivotArea dataOnly="0" labelOnly="1" grandRow="1" outline="0" fieldPosition="0"/>
    </format>
    <format dxfId="48">
      <pivotArea dataOnly="0" labelOnly="1" outline="0" axis="axisValues" fieldPosition="0"/>
    </format>
  </formats>
  <chartFormats count="3">
    <chartFormat chart="5" format="8" series="1">
      <pivotArea type="data" outline="0" fieldPosition="0">
        <references count="1">
          <reference field="4294967294" count="1" selected="0">
            <x v="0"/>
          </reference>
        </references>
      </pivotArea>
    </chartFormat>
    <chartFormat chart="5" format="9">
      <pivotArea type="data" outline="0" fieldPosition="0">
        <references count="2">
          <reference field="4294967294" count="1" selected="0">
            <x v="0"/>
          </reference>
          <reference field="24" count="1" selected="0">
            <x v="1"/>
          </reference>
        </references>
      </pivotArea>
    </chartFormat>
    <chartFormat chart="5" format="10">
      <pivotArea type="data" outline="0" fieldPosition="0">
        <references count="2">
          <reference field="4294967294" count="1" selected="0">
            <x v="0"/>
          </reference>
          <reference field="2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E7BED3E-EC60-4282-8ACB-869130F64AA1}" name="PivotTable5" cacheId="10"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7">
  <location ref="B97:C99" firstHeaderRow="1" firstDataRow="1" firstDataCol="1"/>
  <pivotFields count="39">
    <pivotField numFmtId="3" showAll="0"/>
    <pivotField showAll="0"/>
    <pivotField numFmtId="3" showAll="0"/>
    <pivotField numFmtId="169" showAll="0"/>
    <pivotField showAll="0"/>
    <pivotField showAll="0"/>
    <pivotField showAll="0">
      <items count="20">
        <item x="3"/>
        <item m="1" x="16"/>
        <item x="1"/>
        <item m="1" x="18"/>
        <item x="4"/>
        <item x="7"/>
        <item m="1" x="14"/>
        <item x="9"/>
        <item x="6"/>
        <item x="5"/>
        <item m="1" x="17"/>
        <item x="2"/>
        <item m="1" x="13"/>
        <item m="1" x="15"/>
        <item m="1" x="10"/>
        <item x="8"/>
        <item m="1" x="11"/>
        <item x="0"/>
        <item m="1" x="12"/>
        <item t="default"/>
      </items>
    </pivotField>
    <pivotField showAll="0"/>
    <pivotField showAll="0"/>
    <pivotField showAll="0"/>
    <pivotField dataField="1" showAll="0"/>
    <pivotField showAll="0"/>
    <pivotField showAll="0"/>
    <pivotField showAll="0"/>
    <pivotField showAll="0"/>
    <pivotField showAll="0"/>
    <pivotField showAll="0"/>
    <pivotField showAll="0"/>
    <pivotField numFmtId="20" showAll="0">
      <items count="63">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0"/>
        <item x="61"/>
        <item t="default"/>
      </items>
    </pivotField>
    <pivotField numFmtId="3" showAll="0"/>
    <pivotField showAll="0"/>
    <pivotField showAll="0"/>
    <pivotField showAll="0"/>
    <pivotField showAll="0"/>
    <pivotField showAll="0"/>
    <pivotField showAll="0"/>
    <pivotField showAll="0"/>
    <pivotField showAll="0"/>
    <pivotField showAll="0"/>
    <pivotField showAll="0"/>
    <pivotField showAll="0"/>
    <pivotField numFmtId="9" showAll="0"/>
    <pivotField numFmtId="9" showAll="0"/>
    <pivotField numFmtId="4" showAll="0"/>
    <pivotField showAll="0"/>
    <pivotField axis="axisRow" showAll="0" sortType="ascending">
      <items count="3">
        <item m="1" x="1"/>
        <item x="0"/>
        <item t="default"/>
      </items>
    </pivotField>
    <pivotField showAll="0"/>
    <pivotField showAll="0">
      <items count="63">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x="0"/>
        <item x="61"/>
        <item t="default"/>
      </items>
    </pivotField>
    <pivotField showAll="0">
      <items count="27">
        <item x="0"/>
        <item x="1"/>
        <item x="2"/>
        <item x="3"/>
        <item x="4"/>
        <item x="5"/>
        <item x="6"/>
        <item x="7"/>
        <item x="8"/>
        <item x="9"/>
        <item x="10"/>
        <item x="11"/>
        <item x="12"/>
        <item x="13"/>
        <item x="14"/>
        <item x="15"/>
        <item x="16"/>
        <item x="17"/>
        <item x="18"/>
        <item x="19"/>
        <item x="20"/>
        <item x="21"/>
        <item x="22"/>
        <item x="23"/>
        <item x="24"/>
        <item x="25"/>
        <item t="default"/>
      </items>
    </pivotField>
  </pivotFields>
  <rowFields count="1">
    <field x="35"/>
  </rowFields>
  <rowItems count="2">
    <i>
      <x v="1"/>
    </i>
    <i t="grand">
      <x/>
    </i>
  </rowItems>
  <colItems count="1">
    <i/>
  </colItems>
  <dataFields count="1">
    <dataField name="Sum of No. of Chapters" fld="10" baseField="0" baseItem="0"/>
  </dataFields>
  <formats count="6">
    <format dxfId="59">
      <pivotArea type="all" dataOnly="0" outline="0" fieldPosition="0"/>
    </format>
    <format dxfId="58">
      <pivotArea outline="0" collapsedLevelsAreSubtotals="1" fieldPosition="0"/>
    </format>
    <format dxfId="57">
      <pivotArea field="35" type="button" dataOnly="0" labelOnly="1" outline="0" axis="axisRow" fieldPosition="0"/>
    </format>
    <format dxfId="56">
      <pivotArea dataOnly="0" labelOnly="1" fieldPosition="0">
        <references count="1">
          <reference field="35" count="0"/>
        </references>
      </pivotArea>
    </format>
    <format dxfId="55">
      <pivotArea dataOnly="0" labelOnly="1" grandRow="1" outline="0" fieldPosition="0"/>
    </format>
    <format dxfId="54">
      <pivotArea dataOnly="0" labelOnly="1" outline="0" axis="axisValues" fieldPosition="0"/>
    </format>
  </formats>
  <chartFormats count="3">
    <chartFormat chart="6" format="8" series="1">
      <pivotArea type="data" outline="0" fieldPosition="0">
        <references count="1">
          <reference field="4294967294" count="1" selected="0">
            <x v="0"/>
          </reference>
        </references>
      </pivotArea>
    </chartFormat>
    <chartFormat chart="6" format="9">
      <pivotArea type="data" outline="0" fieldPosition="0">
        <references count="2">
          <reference field="4294967294" count="1" selected="0">
            <x v="0"/>
          </reference>
          <reference field="35" count="1" selected="0">
            <x v="0"/>
          </reference>
        </references>
      </pivotArea>
    </chartFormat>
    <chartFormat chart="6" format="10">
      <pivotArea type="data" outline="0" fieldPosition="0">
        <references count="2">
          <reference field="4294967294" count="1" selected="0">
            <x v="0"/>
          </reference>
          <reference field="35"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765FB6A1-DD51-482F-84CF-F9DEEB7502F2}" name="PivotTable1" cacheId="10"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12">
  <location ref="B77:C79" firstHeaderRow="1" firstDataRow="1" firstDataCol="1"/>
  <pivotFields count="39">
    <pivotField numFmtId="3" showAll="0"/>
    <pivotField showAll="0"/>
    <pivotField numFmtId="3" showAll="0"/>
    <pivotField numFmtId="169" showAll="0"/>
    <pivotField showAll="0"/>
    <pivotField showAll="0"/>
    <pivotField showAll="0">
      <items count="20">
        <item x="3"/>
        <item m="1" x="16"/>
        <item x="1"/>
        <item m="1" x="18"/>
        <item x="4"/>
        <item x="7"/>
        <item m="1" x="14"/>
        <item x="9"/>
        <item x="6"/>
        <item x="5"/>
        <item m="1" x="17"/>
        <item x="2"/>
        <item m="1" x="13"/>
        <item m="1" x="15"/>
        <item m="1" x="10"/>
        <item x="8"/>
        <item m="1" x="11"/>
        <item x="0"/>
        <item m="1" x="12"/>
        <item t="default"/>
      </items>
    </pivotField>
    <pivotField showAll="0"/>
    <pivotField showAll="0"/>
    <pivotField showAll="0"/>
    <pivotField dataField="1" showAll="0"/>
    <pivotField showAll="0"/>
    <pivotField showAll="0"/>
    <pivotField showAll="0"/>
    <pivotField showAll="0"/>
    <pivotField showAll="0"/>
    <pivotField showAll="0"/>
    <pivotField showAll="0"/>
    <pivotField numFmtId="20" showAll="0">
      <items count="63">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0"/>
        <item x="61"/>
        <item t="default"/>
      </items>
    </pivotField>
    <pivotField numFmtId="3" showAll="0"/>
    <pivotField axis="axisRow" showAll="0">
      <items count="3">
        <item m="1" x="1"/>
        <item x="0"/>
        <item t="default"/>
      </items>
    </pivotField>
    <pivotField showAll="0"/>
    <pivotField showAll="0"/>
    <pivotField showAll="0"/>
    <pivotField showAll="0"/>
    <pivotField showAll="0"/>
    <pivotField showAll="0"/>
    <pivotField showAll="0"/>
    <pivotField showAll="0"/>
    <pivotField showAll="0"/>
    <pivotField showAll="0"/>
    <pivotField numFmtId="9" showAll="0"/>
    <pivotField numFmtId="9" showAll="0"/>
    <pivotField numFmtId="4" showAll="0"/>
    <pivotField showAll="0"/>
    <pivotField showAll="0"/>
    <pivotField showAll="0"/>
    <pivotField showAll="0">
      <items count="63">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x="0"/>
        <item x="61"/>
        <item t="default"/>
      </items>
    </pivotField>
    <pivotField showAll="0">
      <items count="27">
        <item x="0"/>
        <item x="1"/>
        <item x="2"/>
        <item x="3"/>
        <item x="4"/>
        <item x="5"/>
        <item x="6"/>
        <item x="7"/>
        <item x="8"/>
        <item x="9"/>
        <item x="10"/>
        <item x="11"/>
        <item x="12"/>
        <item x="13"/>
        <item x="14"/>
        <item x="15"/>
        <item x="16"/>
        <item x="17"/>
        <item x="18"/>
        <item x="19"/>
        <item x="20"/>
        <item x="21"/>
        <item x="22"/>
        <item x="23"/>
        <item x="24"/>
        <item x="25"/>
        <item t="default"/>
      </items>
    </pivotField>
  </pivotFields>
  <rowFields count="1">
    <field x="20"/>
  </rowFields>
  <rowItems count="2">
    <i>
      <x v="1"/>
    </i>
    <i t="grand">
      <x/>
    </i>
  </rowItems>
  <colItems count="1">
    <i/>
  </colItems>
  <dataFields count="1">
    <dataField name="Sum of No. of Chapters" fld="10" baseField="0" baseItem="0"/>
  </dataFields>
  <formats count="6">
    <format dxfId="65">
      <pivotArea type="all" dataOnly="0" outline="0" fieldPosition="0"/>
    </format>
    <format dxfId="64">
      <pivotArea outline="0" collapsedLevelsAreSubtotals="1" fieldPosition="0"/>
    </format>
    <format dxfId="63">
      <pivotArea field="20" type="button" dataOnly="0" labelOnly="1" outline="0" axis="axisRow" fieldPosition="0"/>
    </format>
    <format dxfId="62">
      <pivotArea dataOnly="0" labelOnly="1" fieldPosition="0">
        <references count="1">
          <reference field="20" count="0"/>
        </references>
      </pivotArea>
    </format>
    <format dxfId="61">
      <pivotArea dataOnly="0" labelOnly="1" grandRow="1" outline="0" fieldPosition="0"/>
    </format>
    <format dxfId="60">
      <pivotArea dataOnly="0" labelOnly="1" outline="0" axis="axisValues" fieldPosition="0"/>
    </format>
  </formats>
  <chartFormats count="3">
    <chartFormat chart="8" format="8" series="1">
      <pivotArea type="data" outline="0" fieldPosition="0">
        <references count="1">
          <reference field="4294967294" count="1" selected="0">
            <x v="0"/>
          </reference>
        </references>
      </pivotArea>
    </chartFormat>
    <chartFormat chart="8" format="9">
      <pivotArea type="data" outline="0" fieldPosition="0">
        <references count="2">
          <reference field="4294967294" count="1" selected="0">
            <x v="0"/>
          </reference>
          <reference field="20" count="1" selected="0">
            <x v="0"/>
          </reference>
        </references>
      </pivotArea>
    </chartFormat>
    <chartFormat chart="8" format="10">
      <pivotArea type="data" outline="0" fieldPosition="0">
        <references count="2">
          <reference field="4294967294" count="1" selected="0">
            <x v="0"/>
          </reference>
          <reference field="20"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A61A9A48-8BA7-4B3F-969E-177D84BB225A}" name="PivotTable2" cacheId="10"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7">
  <location ref="B82:C84" firstHeaderRow="1" firstDataRow="1" firstDataCol="1"/>
  <pivotFields count="39">
    <pivotField numFmtId="3" showAll="0"/>
    <pivotField showAll="0"/>
    <pivotField numFmtId="3" showAll="0"/>
    <pivotField numFmtId="169" showAll="0"/>
    <pivotField showAll="0"/>
    <pivotField showAll="0"/>
    <pivotField showAll="0">
      <items count="20">
        <item x="3"/>
        <item m="1" x="16"/>
        <item x="1"/>
        <item m="1" x="18"/>
        <item x="4"/>
        <item x="7"/>
        <item m="1" x="14"/>
        <item x="9"/>
        <item x="6"/>
        <item x="5"/>
        <item m="1" x="17"/>
        <item x="2"/>
        <item m="1" x="13"/>
        <item m="1" x="15"/>
        <item m="1" x="10"/>
        <item x="8"/>
        <item m="1" x="11"/>
        <item x="0"/>
        <item m="1" x="12"/>
        <item t="default"/>
      </items>
    </pivotField>
    <pivotField showAll="0"/>
    <pivotField showAll="0"/>
    <pivotField showAll="0"/>
    <pivotField dataField="1" showAll="0"/>
    <pivotField showAll="0"/>
    <pivotField showAll="0"/>
    <pivotField showAll="0"/>
    <pivotField showAll="0"/>
    <pivotField showAll="0"/>
    <pivotField showAll="0"/>
    <pivotField showAll="0"/>
    <pivotField numFmtId="20" showAll="0">
      <items count="63">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0"/>
        <item x="61"/>
        <item t="default"/>
      </items>
    </pivotField>
    <pivotField numFmtId="3" showAll="0"/>
    <pivotField showAll="0"/>
    <pivotField axis="axisRow" showAll="0">
      <items count="3">
        <item m="1" x="1"/>
        <item x="0"/>
        <item t="default"/>
      </items>
    </pivotField>
    <pivotField showAll="0"/>
    <pivotField showAll="0"/>
    <pivotField showAll="0"/>
    <pivotField showAll="0"/>
    <pivotField showAll="0"/>
    <pivotField showAll="0"/>
    <pivotField showAll="0"/>
    <pivotField showAll="0"/>
    <pivotField showAll="0"/>
    <pivotField numFmtId="9" showAll="0"/>
    <pivotField numFmtId="9" showAll="0"/>
    <pivotField numFmtId="4" showAll="0"/>
    <pivotField showAll="0"/>
    <pivotField showAll="0"/>
    <pivotField showAll="0"/>
    <pivotField showAll="0">
      <items count="63">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x="0"/>
        <item x="61"/>
        <item t="default"/>
      </items>
    </pivotField>
    <pivotField showAll="0">
      <items count="27">
        <item x="0"/>
        <item x="1"/>
        <item x="2"/>
        <item x="3"/>
        <item x="4"/>
        <item x="5"/>
        <item x="6"/>
        <item x="7"/>
        <item x="8"/>
        <item x="9"/>
        <item x="10"/>
        <item x="11"/>
        <item x="12"/>
        <item x="13"/>
        <item x="14"/>
        <item x="15"/>
        <item x="16"/>
        <item x="17"/>
        <item x="18"/>
        <item x="19"/>
        <item x="20"/>
        <item x="21"/>
        <item x="22"/>
        <item x="23"/>
        <item x="24"/>
        <item x="25"/>
        <item t="default"/>
      </items>
    </pivotField>
  </pivotFields>
  <rowFields count="1">
    <field x="21"/>
  </rowFields>
  <rowItems count="2">
    <i>
      <x v="1"/>
    </i>
    <i t="grand">
      <x/>
    </i>
  </rowItems>
  <colItems count="1">
    <i/>
  </colItems>
  <dataFields count="1">
    <dataField name="Sum of No. of Chapters" fld="10" baseField="0" baseItem="0"/>
  </dataFields>
  <formats count="6">
    <format dxfId="71">
      <pivotArea type="all" dataOnly="0" outline="0" fieldPosition="0"/>
    </format>
    <format dxfId="70">
      <pivotArea outline="0" collapsedLevelsAreSubtotals="1" fieldPosition="0"/>
    </format>
    <format dxfId="69">
      <pivotArea field="21" type="button" dataOnly="0" labelOnly="1" outline="0" axis="axisRow" fieldPosition="0"/>
    </format>
    <format dxfId="68">
      <pivotArea dataOnly="0" labelOnly="1" fieldPosition="0">
        <references count="1">
          <reference field="21" count="0"/>
        </references>
      </pivotArea>
    </format>
    <format dxfId="67">
      <pivotArea dataOnly="0" labelOnly="1" grandRow="1" outline="0" fieldPosition="0"/>
    </format>
    <format dxfId="66">
      <pivotArea dataOnly="0" labelOnly="1" outline="0" axis="axisValues" fieldPosition="0"/>
    </format>
  </formats>
  <chartFormats count="3">
    <chartFormat chart="6" format="8" series="1">
      <pivotArea type="data" outline="0" fieldPosition="0">
        <references count="1">
          <reference field="4294967294" count="1" selected="0">
            <x v="0"/>
          </reference>
        </references>
      </pivotArea>
    </chartFormat>
    <chartFormat chart="6" format="9">
      <pivotArea type="data" outline="0" fieldPosition="0">
        <references count="2">
          <reference field="4294967294" count="1" selected="0">
            <x v="0"/>
          </reference>
          <reference field="21" count="1" selected="0">
            <x v="1"/>
          </reference>
        </references>
      </pivotArea>
    </chartFormat>
    <chartFormat chart="6" format="10">
      <pivotArea type="data" outline="0" fieldPosition="0">
        <references count="2">
          <reference field="4294967294" count="1" selected="0">
            <x v="0"/>
          </reference>
          <reference field="21"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8649E825-2976-4EC1-BF08-329137DBE83E}" name="PivotTable3" cacheId="10"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7">
  <location ref="B87:C89" firstHeaderRow="1" firstDataRow="1" firstDataCol="1"/>
  <pivotFields count="39">
    <pivotField numFmtId="3" showAll="0"/>
    <pivotField showAll="0"/>
    <pivotField numFmtId="3" showAll="0"/>
    <pivotField numFmtId="169" showAll="0"/>
    <pivotField showAll="0"/>
    <pivotField showAll="0"/>
    <pivotField showAll="0">
      <items count="20">
        <item x="3"/>
        <item m="1" x="16"/>
        <item x="1"/>
        <item m="1" x="18"/>
        <item x="4"/>
        <item x="7"/>
        <item m="1" x="14"/>
        <item x="9"/>
        <item x="6"/>
        <item x="5"/>
        <item m="1" x="17"/>
        <item x="2"/>
        <item m="1" x="13"/>
        <item m="1" x="15"/>
        <item m="1" x="10"/>
        <item x="8"/>
        <item m="1" x="11"/>
        <item x="0"/>
        <item m="1" x="12"/>
        <item t="default"/>
      </items>
    </pivotField>
    <pivotField showAll="0"/>
    <pivotField showAll="0"/>
    <pivotField showAll="0"/>
    <pivotField dataField="1" showAll="0"/>
    <pivotField showAll="0"/>
    <pivotField showAll="0"/>
    <pivotField showAll="0"/>
    <pivotField showAll="0"/>
    <pivotField showAll="0"/>
    <pivotField showAll="0"/>
    <pivotField showAll="0"/>
    <pivotField numFmtId="20" showAll="0">
      <items count="63">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0"/>
        <item x="61"/>
        <item t="default"/>
      </items>
    </pivotField>
    <pivotField numFmtId="3" showAll="0"/>
    <pivotField showAll="0"/>
    <pivotField showAll="0"/>
    <pivotField showAll="0"/>
    <pivotField showAll="0"/>
    <pivotField showAll="0"/>
    <pivotField showAll="0"/>
    <pivotField showAll="0"/>
    <pivotField showAll="0"/>
    <pivotField showAll="0"/>
    <pivotField showAll="0"/>
    <pivotField showAll="0"/>
    <pivotField numFmtId="9" showAll="0"/>
    <pivotField numFmtId="9" showAll="0"/>
    <pivotField numFmtId="4" showAll="0"/>
    <pivotField axis="axisRow" showAll="0">
      <items count="3">
        <item m="1" x="1"/>
        <item x="0"/>
        <item t="default"/>
      </items>
    </pivotField>
    <pivotField showAll="0"/>
    <pivotField showAll="0"/>
    <pivotField showAll="0">
      <items count="63">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x="0"/>
        <item x="61"/>
        <item t="default"/>
      </items>
    </pivotField>
    <pivotField showAll="0">
      <items count="27">
        <item x="0"/>
        <item x="1"/>
        <item x="2"/>
        <item x="3"/>
        <item x="4"/>
        <item x="5"/>
        <item x="6"/>
        <item x="7"/>
        <item x="8"/>
        <item x="9"/>
        <item x="10"/>
        <item x="11"/>
        <item x="12"/>
        <item x="13"/>
        <item x="14"/>
        <item x="15"/>
        <item x="16"/>
        <item x="17"/>
        <item x="18"/>
        <item x="19"/>
        <item x="20"/>
        <item x="21"/>
        <item x="22"/>
        <item x="23"/>
        <item x="24"/>
        <item x="25"/>
        <item t="default"/>
      </items>
    </pivotField>
  </pivotFields>
  <rowFields count="1">
    <field x="34"/>
  </rowFields>
  <rowItems count="2">
    <i>
      <x v="1"/>
    </i>
    <i t="grand">
      <x/>
    </i>
  </rowItems>
  <colItems count="1">
    <i/>
  </colItems>
  <dataFields count="1">
    <dataField name="Sum of No. of Chapters" fld="10" baseField="0" baseItem="0"/>
  </dataFields>
  <formats count="6">
    <format dxfId="77">
      <pivotArea type="all" dataOnly="0" outline="0" fieldPosition="0"/>
    </format>
    <format dxfId="76">
      <pivotArea outline="0" collapsedLevelsAreSubtotals="1" fieldPosition="0"/>
    </format>
    <format dxfId="75">
      <pivotArea field="34" type="button" dataOnly="0" labelOnly="1" outline="0" axis="axisRow" fieldPosition="0"/>
    </format>
    <format dxfId="74">
      <pivotArea dataOnly="0" labelOnly="1" fieldPosition="0">
        <references count="1">
          <reference field="34" count="0"/>
        </references>
      </pivotArea>
    </format>
    <format dxfId="73">
      <pivotArea dataOnly="0" labelOnly="1" grandRow="1" outline="0" fieldPosition="0"/>
    </format>
    <format dxfId="72">
      <pivotArea dataOnly="0" labelOnly="1" outline="0" axis="axisValues" fieldPosition="0"/>
    </format>
  </formats>
  <chartFormats count="3">
    <chartFormat chart="6" format="8" series="1">
      <pivotArea type="data" outline="0" fieldPosition="0">
        <references count="1">
          <reference field="4294967294" count="1" selected="0">
            <x v="0"/>
          </reference>
        </references>
      </pivotArea>
    </chartFormat>
    <chartFormat chart="6" format="9">
      <pivotArea type="data" outline="0" fieldPosition="0">
        <references count="2">
          <reference field="4294967294" count="1" selected="0">
            <x v="0"/>
          </reference>
          <reference field="34" count="1" selected="0">
            <x v="1"/>
          </reference>
        </references>
      </pivotArea>
    </chartFormat>
    <chartFormat chart="6" format="10">
      <pivotArea type="data" outline="0" fieldPosition="0">
        <references count="2">
          <reference field="4294967294" count="1" selected="0">
            <x v="0"/>
          </reference>
          <reference field="3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ubject" xr10:uid="{E5DF8370-856C-4096-8BFE-2F3EB9D9E115}" sourceName="Subject">
  <pivotTables>
    <pivotTable tabId="8" name="PivotTable2"/>
    <pivotTable tabId="8" name="PivotTable1"/>
    <pivotTable tabId="8" name="PivotTable5"/>
    <pivotTable tabId="8" name="PivotTable4"/>
    <pivotTable tabId="8" name="PivotTable3"/>
  </pivotTables>
  <data>
    <tabular pivotCacheId="1723530185" customListSort="0" showMissing="0" crossFilter="none">
      <items count="19">
        <i x="3" s="1"/>
        <i x="1" s="1"/>
        <i x="4" s="1"/>
        <i x="7" s="1"/>
        <i x="9" s="1"/>
        <i x="6" s="1"/>
        <i x="5" s="1"/>
        <i x="2" s="1"/>
        <i x="8" s="1"/>
        <i x="0" s="1"/>
        <i x="16" s="1"/>
        <i x="18" s="1"/>
        <i x="14" s="1"/>
        <i x="17" s="1"/>
        <i x="13" s="1"/>
        <i x="15" s="1"/>
        <i x="10" s="1"/>
        <i x="11" s="1"/>
        <i x="12"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ubject 2" xr10:uid="{10316CBC-5F57-4C58-8663-4C18FEE16DD0}" cache="Slicer_Subject" caption="Subject" style="SlicerStyleLight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Master_Data" displayName="Master_Data" ref="B8:AL84" totalsRowShown="0" headerRowDxfId="119" dataDxfId="117" headerRowBorderDxfId="118" tableBorderDxfId="116" totalsRowBorderDxfId="115">
  <autoFilter ref="B8:AL84" xr:uid="{861EE33C-73C1-4F33-9192-F531CCE54052}"/>
  <tableColumns count="37">
    <tableColumn id="9" xr3:uid="{1F1DE16E-278E-4EF8-B2BB-8924E21CCBFE}" name="Order of Study" dataDxfId="114"/>
    <tableColumn id="33" xr3:uid="{BBAB2BFB-594B-429D-A8B8-83652595607C}" name="Schedule" dataDxfId="113">
      <calculatedColumnFormula>IF(Master_Data[[#This Row],[Column1]]="Done","",IF(Master_Data[[#This Row],[Column1]]=MIN(Master_Data[Column1]),"Current Week",CONCATENATE("Week ",Master_Data[[#This Row],[Column1]])))</calculatedColumnFormula>
    </tableColumn>
    <tableColumn id="32" xr3:uid="{9A94244A-9683-470A-BBD0-A46326317C2C}" name="Column1" dataDxfId="112">
      <calculatedColumnFormula>IF(Master_Data[[#This Row],[Cum. Undone hrs]]=0,"Done",ROUNDUP(Master_Data[[#This Row],[Cum. Undone hrs]]/Working!$C$8,0))</calculatedColumnFormula>
    </tableColumn>
    <tableColumn id="38" xr3:uid="{BA74B281-D5DE-42D8-A5C6-EF6D97A60B41}" name="Column2" dataDxfId="111">
      <calculatedColumnFormula>IF(OR(D9=D8,D9=D8+1),Master_Data[[#This Row],[Column1]],D9-1)</calculatedColumnFormula>
    </tableColumn>
    <tableColumn id="30" xr3:uid="{870EBD19-DC72-4312-B209-C8AADE869148}" name="Cum. Undone hrs" dataDxfId="110">
      <calculatedColumnFormula>SUM($G$9:G9)</calculatedColumnFormula>
    </tableColumn>
    <tableColumn id="27" xr3:uid="{2C857C23-47AE-4F9C-AA57-E6F2EC1B8477}" name="Undone hrs" dataDxfId="109">
      <calculatedColumnFormula>IF(Master_Data[[#This Row],[Lectures]]="D","",Master_Data[[#This Row],[Duration (hh:mm)]])</calculatedColumnFormula>
    </tableColumn>
    <tableColumn id="1" xr3:uid="{00000000-0010-0000-0000-000001000000}" name="Subject" dataDxfId="108"/>
    <tableColumn id="2" xr3:uid="{00000000-0010-0000-0000-000002000000}" name="Reading" dataDxfId="107"/>
    <tableColumn id="24" xr3:uid="{12F2DE11-D6A3-41B2-B62E-C51E27851BC0}" name="Changes" dataDxfId="106"/>
    <tableColumn id="3" xr3:uid="{00000000-0010-0000-0000-000003000000}" name="Topic" dataDxfId="105"/>
    <tableColumn id="35" xr3:uid="{7CA50BED-5181-4E43-AEEE-009A9A07764D}" name="No. of Chapters" dataDxfId="104"/>
    <tableColumn id="13" xr3:uid="{831F4477-25B4-4195-AB9B-0AADBF9D7D3E}" name="No. of LOS2" dataDxfId="103"/>
    <tableColumn id="21" xr3:uid="{75701E24-4A87-4E0F-9D5A-73640F8E25C4}" name="Lengthy" dataDxfId="102"/>
    <tableColumn id="20" xr3:uid="{77CA19E4-4B02-44E6-B959-FD5250D705DD}" name="Numerical or Not" dataDxfId="101"/>
    <tableColumn id="19" xr3:uid="{2E72736C-C56E-4D52-B458-A87278BC9CE2}" name="Diff. Level" dataDxfId="100"/>
    <tableColumn id="22" xr3:uid="{BC8C5220-F4FC-4DDB-BF01-412D8FEECE86}" name="Confusing" dataDxfId="99"/>
    <tableColumn id="18" xr3:uid="{2E66286A-5B10-41F1-B2EC-C16040833BBF}" name="Imp. Level" dataDxfId="98"/>
    <tableColumn id="17" xr3:uid="{7EEA9AA8-4E26-4B33-AA7E-0D9AA4589720}" name="Reqd. Prac." dataDxfId="97"/>
    <tableColumn id="16" xr3:uid="{BD71F8AD-1CE1-4DAB-BF8A-6F05372A3D94}" name="Duration (hh:mm)" dataDxfId="96"/>
    <tableColumn id="15" xr3:uid="{14D87CA9-408F-464E-88DB-8BE470862CA1}" name="Cum. (%)" dataDxfId="95">
      <calculatedColumnFormula>(SUM($T$9:T9)/$T$4)*100</calculatedColumnFormula>
    </tableColumn>
    <tableColumn id="4" xr3:uid="{00000000-0010-0000-0000-000004000000}" name="Lectures" dataDxfId="94"/>
    <tableColumn id="5" xr3:uid="{00000000-0010-0000-0000-000005000000}" name="Self Study" dataDxfId="93"/>
    <tableColumn id="10" xr3:uid="{00000000-0010-0000-0000-00000A000000}" name="Inst. EOC Ques." dataDxfId="92"/>
    <tableColumn id="8" xr3:uid="{00000000-0010-0000-0000-000008000000}" name="Class Test Book" dataDxfId="91"/>
    <tableColumn id="6" xr3:uid="{00000000-0010-0000-0000-000006000000}" name="Revision" dataDxfId="90"/>
    <tableColumn id="11" xr3:uid="{00000000-0010-0000-0000-00000B000000}" name="Inst. Online Portal" dataDxfId="89"/>
    <tableColumn id="12" xr3:uid="{00000000-0010-0000-0000-00000C000000}" name="Prac. Book" dataDxfId="88"/>
    <tableColumn id="14" xr3:uid="{AEDD019D-42C9-488A-91CF-CB6B9FD52249}" name="Schweser Prac. Bk 1" dataDxfId="87"/>
    <tableColumn id="7" xr3:uid="{00000000-0010-0000-0000-000007000000}" name="Schweser Prac. Bk 2" dataDxfId="86"/>
    <tableColumn id="25" xr3:uid="{960A4FD1-ACCA-4C3B-BB49-555780F1E120}" name="Confidence Level" dataDxfId="85"/>
    <tableColumn id="23" xr3:uid="{4F2FB2AB-1E57-49E4-A36E-C2AE4F7ECC88}" name="Notes to Yourself" dataDxfId="84"/>
    <tableColumn id="26" xr3:uid="{15012E93-27CD-479E-B748-1A0B33E38540}" name="Total weights" dataDxfId="83">
      <calculatedColumnFormula>R9/SUM($R$9:$R$84)</calculatedColumnFormula>
    </tableColumn>
    <tableColumn id="28" xr3:uid="{F75F033E-D2A5-4A49-AC71-603D263F625D}" name="Subjectwise weights" dataDxfId="82">
      <calculatedColumnFormula>Master_Data[[#This Row],[Imp. Level]]/SUMIF(Master_Data[Subject],Master_Data[[#This Row],[Subject]],Master_Data[Imp. Level])</calculatedColumnFormula>
    </tableColumn>
    <tableColumn id="29" xr3:uid="{4DCF2CFD-3233-40BF-995C-319D9E96ABF7}" name="Subjectwise weighted average" dataDxfId="81">
      <calculatedColumnFormula>Master_Data[[#This Row],[Subjectwise weights]]*Master_Data[[#This Row],[Confidence Level]]</calculatedColumnFormula>
    </tableColumn>
    <tableColumn id="31" xr3:uid="{44791B14-8EA4-4997-9F55-0F060C364CAA}" name="Practice" dataDxfId="80">
      <calculatedColumnFormula>IF(AND(Master_Data[[#This Row],[Inst. EOC Ques.]]="D",Master_Data[[#This Row],[Class Test Book]]="D"),"D","U")</calculatedColumnFormula>
    </tableColumn>
    <tableColumn id="34" xr3:uid="{679C7012-AA95-4E12-BCFA-3A8F0884BA1B}" name="Extra Practice" dataDxfId="79">
      <calculatedColumnFormula>IF(AND(Master_Data[[#This Row],[Inst. Online Portal]]="D",Master_Data[[#This Row],[Prac. Book]]="D",Master_Data[[#This Row],[Schweser Prac. Bk 1]]="D",Master_Data[[#This Row],[Schweser Prac. Bk 2]]="D"),"D","U")</calculatedColumnFormula>
    </tableColumn>
    <tableColumn id="36" xr3:uid="{8D8C3F49-6277-4787-B300-C841F502D3A2}" name="Study" dataDxfId="78">
      <calculatedColumnFormula>IF(AND(Master_Data[[#This Row],[Lectures]]="D",Master_Data[[#This Row],[Self Study]]="D"),Master_Data[[#This Row],[No. of Chapters]],"U")</calculatedColumnFormula>
    </tableColumn>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0470A77-94EC-4BDD-954E-C1385AFD4773}" name="Table134" displayName="Table134" ref="E2:K8" totalsRowCount="1" headerRowDxfId="47" dataDxfId="45" totalsRowDxfId="43" headerRowBorderDxfId="46" tableBorderDxfId="44" totalsRowBorderDxfId="42">
  <tableColumns count="7">
    <tableColumn id="1" xr3:uid="{AE11ECA3-766C-4A27-9D55-2BC88847F811}" name="YEAR" dataDxfId="41" totalsRowDxfId="40"/>
    <tableColumn id="8" xr3:uid="{F45BA15B-8BD1-46B5-B2D7-1C41230837B1}" name="Difference" dataDxfId="39" totalsRowDxfId="38" dataCellStyle="Percent" totalsRowCellStyle="Percent"/>
    <tableColumn id="3" xr3:uid="{8587D4BE-01D5-4334-AA9F-1CB7C9F49C45}" name="Cum. Diff" dataDxfId="37" totalsRowDxfId="36" dataCellStyle="Percent" totalsRowCellStyle="Percent">
      <calculatedColumnFormula>Table134[[#This Row],[Diff %]]</calculatedColumnFormula>
    </tableColumn>
    <tableColumn id="2" xr3:uid="{6BC40997-B42C-4560-B77E-739CF69E8116}" name="Diff %" totalsRowFunction="sum" dataDxfId="35" totalsRowDxfId="34" dataCellStyle="Percent" totalsRowCellStyle="Percent">
      <calculatedColumnFormula>Table134[[#This Row],[%]]</calculatedColumnFormula>
    </tableColumn>
    <tableColumn id="6" xr3:uid="{3F56D537-714F-43D6-9FD7-831C5EC8E06A}" name="%" dataDxfId="33" totalsRowDxfId="32">
      <calculatedColumnFormula>Table134[[#This Row],[Difference]]/$F$7</calculatedColumnFormula>
    </tableColumn>
    <tableColumn id="7" xr3:uid="{934479DB-DEF7-4CC9-ACF3-42FD51742DBC}" name="No. of days" dataDxfId="31" totalsRowDxfId="30">
      <calculatedColumnFormula>30%</calculatedColumnFormula>
    </tableColumn>
    <tableColumn id="10" xr3:uid="{51DA5D9E-8A89-4740-A73E-F978631A4936}" name="LABEL" dataDxfId="29" totalsRowDxfId="28"/>
  </tableColumns>
  <tableStyleInfo showFirstColumn="0" showLastColumn="0" showRowStripes="1" showColumnStripes="1"/>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youtu.be/B4xHkO9xJhQ"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omments" Target="../comments1.xml"/><Relationship Id="rId4" Type="http://schemas.microsoft.com/office/2007/relationships/slicer" Target="../slicers/slicer1.xml"/></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pivotTable" Target="../pivotTables/pivotTable3.xml"/><Relationship Id="rId7" Type="http://schemas.openxmlformats.org/officeDocument/2006/relationships/drawing" Target="../drawings/drawing4.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5.bin"/><Relationship Id="rId5" Type="http://schemas.openxmlformats.org/officeDocument/2006/relationships/pivotTable" Target="../pivotTables/pivotTable5.xml"/><Relationship Id="rId10" Type="http://schemas.openxmlformats.org/officeDocument/2006/relationships/comments" Target="../comments2.xml"/><Relationship Id="rId4" Type="http://schemas.openxmlformats.org/officeDocument/2006/relationships/pivotTable" Target="../pivotTables/pivotTable4.xml"/><Relationship Id="rId9"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sheetPr>
  <dimension ref="B1:AA44"/>
  <sheetViews>
    <sheetView showGridLines="0" tabSelected="1" zoomScale="90" zoomScaleNormal="90" workbookViewId="0">
      <selection activeCell="F6" sqref="F6"/>
    </sheetView>
  </sheetViews>
  <sheetFormatPr defaultColWidth="8.7109375" defaultRowHeight="14.25"/>
  <cols>
    <col min="1" max="1" width="3.7109375" style="40" customWidth="1"/>
    <col min="2" max="2" width="11.85546875" style="40" customWidth="1"/>
    <col min="3" max="3" width="16" style="40" customWidth="1"/>
    <col min="4" max="4" width="42.5703125" style="40" customWidth="1"/>
    <col min="5" max="5" width="34.42578125" style="40" customWidth="1"/>
    <col min="6" max="6" width="39.5703125" style="40" customWidth="1"/>
    <col min="7" max="16384" width="8.7109375" style="40"/>
  </cols>
  <sheetData>
    <row r="1" spans="2:27" ht="6.75" customHeight="1"/>
    <row r="2" spans="2:27" ht="30" customHeight="1">
      <c r="B2" s="285" t="s">
        <v>187</v>
      </c>
      <c r="C2" s="285"/>
      <c r="D2" s="285"/>
      <c r="E2" s="285"/>
      <c r="F2" s="285"/>
      <c r="G2" s="57"/>
      <c r="H2" s="57"/>
      <c r="I2" s="57"/>
      <c r="J2" s="57"/>
      <c r="K2" s="57"/>
      <c r="L2" s="57"/>
      <c r="M2" s="57"/>
      <c r="N2" s="57"/>
      <c r="O2" s="57"/>
      <c r="P2" s="57"/>
      <c r="Q2" s="57"/>
      <c r="R2" s="57"/>
      <c r="S2" s="57"/>
      <c r="T2" s="57"/>
      <c r="U2" s="57"/>
      <c r="V2" s="57"/>
      <c r="W2" s="57"/>
      <c r="X2" s="57"/>
      <c r="Y2" s="57"/>
      <c r="Z2" s="57"/>
      <c r="AA2" s="57"/>
    </row>
    <row r="3" spans="2:27" ht="9.9499999999999993" customHeight="1"/>
    <row r="4" spans="2:27" s="28" customFormat="1" ht="21.75" customHeight="1">
      <c r="D4" s="58"/>
      <c r="E4" s="282" t="s">
        <v>10</v>
      </c>
      <c r="F4" s="282"/>
      <c r="G4" s="58"/>
      <c r="H4" s="58"/>
      <c r="I4" s="58"/>
      <c r="J4" s="58"/>
      <c r="K4" s="59"/>
      <c r="L4" s="59"/>
      <c r="M4" s="59"/>
      <c r="N4" s="59"/>
      <c r="O4" s="59"/>
      <c r="P4" s="59"/>
      <c r="Q4" s="59"/>
      <c r="R4" s="59"/>
      <c r="S4" s="59"/>
    </row>
    <row r="5" spans="2:27" ht="8.25" customHeight="1"/>
    <row r="6" spans="2:27" ht="18.75">
      <c r="E6" s="69" t="s">
        <v>0</v>
      </c>
      <c r="F6" s="70" t="s">
        <v>193</v>
      </c>
      <c r="I6" s="136"/>
    </row>
    <row r="7" spans="2:27" ht="5.25" customHeight="1">
      <c r="E7" s="60"/>
      <c r="F7" s="156"/>
    </row>
    <row r="8" spans="2:27" ht="19.5" customHeight="1">
      <c r="E8" s="186" t="s">
        <v>2</v>
      </c>
      <c r="F8" s="187">
        <v>45302</v>
      </c>
    </row>
    <row r="9" spans="2:27" ht="19.5" customHeight="1">
      <c r="E9" s="188" t="s">
        <v>1</v>
      </c>
      <c r="F9" s="189">
        <v>45980</v>
      </c>
    </row>
    <row r="11" spans="2:27">
      <c r="B11" s="284"/>
      <c r="C11" s="284"/>
      <c r="D11" s="284"/>
    </row>
    <row r="12" spans="2:27" ht="6.6" customHeight="1">
      <c r="B12" s="145"/>
      <c r="C12" s="145"/>
    </row>
    <row r="13" spans="2:27" s="146" customFormat="1" ht="25.5">
      <c r="B13" s="280" t="s">
        <v>49</v>
      </c>
      <c r="C13" s="280"/>
      <c r="D13" s="281"/>
      <c r="E13" s="281"/>
      <c r="F13" s="147" t="str">
        <f>'📝 Instructions'!E4&amp;" |Aswini Bajaj"</f>
        <v>CFA L-1 |Aswini Bajaj</v>
      </c>
    </row>
    <row r="14" spans="2:27">
      <c r="C14" s="41"/>
    </row>
    <row r="15" spans="2:27" ht="42.6" customHeight="1">
      <c r="B15" s="138"/>
      <c r="C15" s="138"/>
      <c r="D15" s="138"/>
      <c r="E15" s="138"/>
      <c r="F15" s="138"/>
    </row>
    <row r="16" spans="2:27" ht="44.45" customHeight="1">
      <c r="B16" s="51"/>
      <c r="C16" s="51"/>
      <c r="D16" s="51"/>
      <c r="E16" s="51"/>
      <c r="F16" s="51"/>
    </row>
    <row r="17" spans="2:6" ht="25.5">
      <c r="B17" s="52"/>
      <c r="C17" s="53"/>
      <c r="D17" s="52"/>
      <c r="E17" s="52"/>
    </row>
    <row r="18" spans="2:6" ht="18.600000000000001" customHeight="1">
      <c r="B18" s="52"/>
      <c r="C18" s="53"/>
      <c r="D18" s="52"/>
      <c r="E18" s="52"/>
    </row>
    <row r="19" spans="2:6" ht="18.75">
      <c r="B19" s="154" t="s">
        <v>47</v>
      </c>
      <c r="C19" s="154" t="s">
        <v>48</v>
      </c>
      <c r="D19" s="283" t="s">
        <v>49</v>
      </c>
      <c r="E19" s="283"/>
      <c r="F19" s="283"/>
    </row>
    <row r="20" spans="2:6" ht="59.1" customHeight="1">
      <c r="B20" s="139">
        <v>1</v>
      </c>
      <c r="C20" s="140" t="s">
        <v>28</v>
      </c>
      <c r="D20" s="276" t="s">
        <v>189</v>
      </c>
      <c r="E20" s="276"/>
      <c r="F20" s="277"/>
    </row>
    <row r="21" spans="2:6" ht="42" customHeight="1">
      <c r="B21" s="139">
        <v>2</v>
      </c>
      <c r="C21" s="140" t="str">
        <f>Master_Data[[#Headers],[Schedule]]</f>
        <v>Schedule</v>
      </c>
      <c r="D21" s="276" t="s">
        <v>192</v>
      </c>
      <c r="E21" s="276"/>
      <c r="F21" s="277"/>
    </row>
    <row r="22" spans="2:6" ht="42" customHeight="1">
      <c r="B22" s="141">
        <v>3</v>
      </c>
      <c r="C22" s="142" t="s">
        <v>3</v>
      </c>
      <c r="D22" s="278" t="s">
        <v>227</v>
      </c>
      <c r="E22" s="278"/>
      <c r="F22" s="279"/>
    </row>
    <row r="23" spans="2:6" ht="25.5" customHeight="1">
      <c r="B23" s="143">
        <v>4</v>
      </c>
      <c r="C23" s="144" t="s">
        <v>4</v>
      </c>
      <c r="D23" s="274" t="s">
        <v>92</v>
      </c>
      <c r="E23" s="274"/>
      <c r="F23" s="275"/>
    </row>
    <row r="24" spans="2:6" ht="42" customHeight="1">
      <c r="B24" s="141">
        <v>5</v>
      </c>
      <c r="C24" s="142" t="s">
        <v>5</v>
      </c>
      <c r="D24" s="276" t="s">
        <v>105</v>
      </c>
      <c r="E24" s="276"/>
      <c r="F24" s="277"/>
    </row>
    <row r="25" spans="2:6" ht="57.75" customHeight="1">
      <c r="B25" s="143">
        <v>6</v>
      </c>
      <c r="C25" s="144" t="s">
        <v>91</v>
      </c>
      <c r="D25" s="276" t="s">
        <v>271</v>
      </c>
      <c r="E25" s="276"/>
      <c r="F25" s="277"/>
    </row>
    <row r="26" spans="2:6" ht="29.1" customHeight="1">
      <c r="B26" s="141">
        <v>7</v>
      </c>
      <c r="C26" s="142" t="s">
        <v>116</v>
      </c>
      <c r="D26" s="276" t="s">
        <v>112</v>
      </c>
      <c r="E26" s="276"/>
      <c r="F26" s="277"/>
    </row>
    <row r="27" spans="2:6" ht="42" customHeight="1">
      <c r="B27" s="143">
        <v>8</v>
      </c>
      <c r="C27" s="144" t="s">
        <v>184</v>
      </c>
      <c r="D27" s="274" t="s">
        <v>115</v>
      </c>
      <c r="E27" s="274"/>
      <c r="F27" s="275"/>
    </row>
    <row r="28" spans="2:6" ht="42" customHeight="1">
      <c r="B28" s="141">
        <v>9</v>
      </c>
      <c r="C28" s="142" t="s">
        <v>88</v>
      </c>
      <c r="D28" s="276" t="s">
        <v>104</v>
      </c>
      <c r="E28" s="276"/>
      <c r="F28" s="277"/>
    </row>
    <row r="29" spans="2:6" ht="72" customHeight="1">
      <c r="B29" s="143">
        <v>10</v>
      </c>
      <c r="C29" s="144" t="s">
        <v>89</v>
      </c>
      <c r="D29" s="274" t="s">
        <v>106</v>
      </c>
      <c r="E29" s="274"/>
      <c r="F29" s="275"/>
    </row>
    <row r="30" spans="2:6" ht="75.599999999999994" customHeight="1">
      <c r="B30" s="141">
        <v>11</v>
      </c>
      <c r="C30" s="142" t="s">
        <v>185</v>
      </c>
      <c r="D30" s="276" t="s">
        <v>103</v>
      </c>
      <c r="E30" s="276"/>
      <c r="F30" s="277"/>
    </row>
    <row r="31" spans="2:6" ht="143.1" customHeight="1">
      <c r="B31" s="143">
        <v>12</v>
      </c>
      <c r="C31" s="144" t="s">
        <v>90</v>
      </c>
      <c r="D31" s="274" t="s">
        <v>182</v>
      </c>
      <c r="E31" s="274"/>
      <c r="F31" s="275"/>
    </row>
    <row r="32" spans="2:6" ht="72.95" customHeight="1">
      <c r="B32" s="141">
        <v>13</v>
      </c>
      <c r="C32" s="142" t="s">
        <v>50</v>
      </c>
      <c r="D32" s="276" t="s">
        <v>226</v>
      </c>
      <c r="E32" s="276"/>
      <c r="F32" s="277"/>
    </row>
    <row r="33" spans="2:6" ht="42" customHeight="1">
      <c r="B33" s="143">
        <v>14</v>
      </c>
      <c r="C33" s="144" t="s">
        <v>46</v>
      </c>
      <c r="D33" s="274" t="s">
        <v>107</v>
      </c>
      <c r="E33" s="274"/>
      <c r="F33" s="275"/>
    </row>
    <row r="34" spans="2:6" ht="58.5" customHeight="1">
      <c r="B34" s="141">
        <v>15</v>
      </c>
      <c r="C34" s="142" t="s">
        <v>39</v>
      </c>
      <c r="D34" s="276" t="s">
        <v>108</v>
      </c>
      <c r="E34" s="276"/>
      <c r="F34" s="277"/>
    </row>
    <row r="35" spans="2:6" ht="56.45" customHeight="1">
      <c r="B35" s="143">
        <v>16</v>
      </c>
      <c r="C35" s="144" t="s">
        <v>40</v>
      </c>
      <c r="D35" s="274" t="s">
        <v>53</v>
      </c>
      <c r="E35" s="274"/>
      <c r="F35" s="275"/>
    </row>
    <row r="36" spans="2:6" ht="58.5" customHeight="1">
      <c r="B36" s="141">
        <v>17</v>
      </c>
      <c r="C36" s="142" t="s">
        <v>41</v>
      </c>
      <c r="D36" s="276" t="s">
        <v>109</v>
      </c>
      <c r="E36" s="276"/>
      <c r="F36" s="277"/>
    </row>
    <row r="37" spans="2:6" ht="54" customHeight="1">
      <c r="B37" s="143">
        <v>18</v>
      </c>
      <c r="C37" s="144" t="s">
        <v>42</v>
      </c>
      <c r="D37" s="274" t="s">
        <v>55</v>
      </c>
      <c r="E37" s="274"/>
      <c r="F37" s="275"/>
    </row>
    <row r="38" spans="2:6" ht="42" customHeight="1">
      <c r="B38" s="141">
        <v>19</v>
      </c>
      <c r="C38" s="142" t="s">
        <v>43</v>
      </c>
      <c r="D38" s="276" t="s">
        <v>54</v>
      </c>
      <c r="E38" s="276"/>
      <c r="F38" s="277"/>
    </row>
    <row r="39" spans="2:6" ht="42" customHeight="1">
      <c r="B39" s="143">
        <v>20</v>
      </c>
      <c r="C39" s="144" t="s">
        <v>44</v>
      </c>
      <c r="D39" s="274" t="s">
        <v>110</v>
      </c>
      <c r="E39" s="274"/>
      <c r="F39" s="275"/>
    </row>
    <row r="40" spans="2:6" ht="50.45" customHeight="1">
      <c r="B40" s="141">
        <v>21</v>
      </c>
      <c r="C40" s="142" t="s">
        <v>45</v>
      </c>
      <c r="D40" s="276" t="s">
        <v>56</v>
      </c>
      <c r="E40" s="276"/>
      <c r="F40" s="277"/>
    </row>
    <row r="41" spans="2:6" ht="61.5" customHeight="1">
      <c r="B41" s="143">
        <v>22</v>
      </c>
      <c r="C41" s="144" t="s">
        <v>78</v>
      </c>
      <c r="D41" s="274" t="s">
        <v>57</v>
      </c>
      <c r="E41" s="274"/>
      <c r="F41" s="275"/>
    </row>
    <row r="42" spans="2:6" ht="51.95" customHeight="1">
      <c r="B42" s="141">
        <v>23</v>
      </c>
      <c r="C42" s="142" t="s">
        <v>79</v>
      </c>
      <c r="D42" s="276" t="s">
        <v>58</v>
      </c>
      <c r="E42" s="276"/>
      <c r="F42" s="277"/>
    </row>
    <row r="43" spans="2:6" ht="42" customHeight="1">
      <c r="B43" s="143">
        <v>24</v>
      </c>
      <c r="C43" s="144" t="s">
        <v>136</v>
      </c>
      <c r="D43" s="274" t="s">
        <v>183</v>
      </c>
      <c r="E43" s="274"/>
      <c r="F43" s="275"/>
    </row>
    <row r="44" spans="2:6" ht="48.6" customHeight="1">
      <c r="B44" s="141">
        <v>25</v>
      </c>
      <c r="C44" s="142" t="s">
        <v>113</v>
      </c>
      <c r="D44" s="276" t="s">
        <v>186</v>
      </c>
      <c r="E44" s="276"/>
      <c r="F44" s="277"/>
    </row>
  </sheetData>
  <sheetProtection algorithmName="SHA-512" hashValue="J5DQDv0luUTByC1B9N1dACJJhto7r/4zB/Y57pCxRJw/zAp7uJJ4ijvwQ1zNrl52oDbZ8yNz36Dr5G3/hXV2hA==" saltValue="aKSfSyDY6W8JlwUclzJDFQ==" spinCount="100000" sheet="1" selectLockedCells="1"/>
  <mergeCells count="31">
    <mergeCell ref="E4:F4"/>
    <mergeCell ref="D20:F20"/>
    <mergeCell ref="D19:F19"/>
    <mergeCell ref="B11:D11"/>
    <mergeCell ref="B2:F2"/>
    <mergeCell ref="D22:F22"/>
    <mergeCell ref="D23:F23"/>
    <mergeCell ref="B13:C13"/>
    <mergeCell ref="D21:F21"/>
    <mergeCell ref="D13:E13"/>
    <mergeCell ref="D36:F36"/>
    <mergeCell ref="D37:F37"/>
    <mergeCell ref="D38:F38"/>
    <mergeCell ref="D39:F39"/>
    <mergeCell ref="D40:F40"/>
    <mergeCell ref="D43:F43"/>
    <mergeCell ref="D44:F44"/>
    <mergeCell ref="D24:F24"/>
    <mergeCell ref="D32:F32"/>
    <mergeCell ref="D33:F33"/>
    <mergeCell ref="D34:F34"/>
    <mergeCell ref="D35:F35"/>
    <mergeCell ref="D30:F30"/>
    <mergeCell ref="D31:F31"/>
    <mergeCell ref="D29:F29"/>
    <mergeCell ref="D28:F28"/>
    <mergeCell ref="D27:F27"/>
    <mergeCell ref="D25:F25"/>
    <mergeCell ref="D26:F26"/>
    <mergeCell ref="D41:F41"/>
    <mergeCell ref="D42:F42"/>
  </mergeCells>
  <dataValidations count="3">
    <dataValidation type="date" operator="greaterThanOrEqual" allowBlank="1" showInputMessage="1" showErrorMessage="1" promptTitle="Exam Date:" prompt="Please enter the date of the exam in dd-mm-yy format" sqref="F9" xr:uid="{00000000-0002-0000-0000-000000000000}">
      <formula1>TODAY()</formula1>
    </dataValidation>
    <dataValidation type="date" operator="lessThanOrEqual" allowBlank="1" showErrorMessage="1" errorTitle="Wrong Entry" error="Please enter a date less than or equal to today to get the Target &amp; Analysis of your Performance_x000a_" promptTitle="Enter Date:" prompt="Please enter the date here which i" sqref="F8" xr:uid="{00000000-0002-0000-0000-000002000000}">
      <formula1>TODAY()</formula1>
    </dataValidation>
    <dataValidation type="textLength" allowBlank="1" showInputMessage="1" showErrorMessage="1" promptTitle="Please Input your name" sqref="F6" xr:uid="{00000000-0002-0000-0000-000003000000}">
      <formula1>1</formula1>
      <formula2>100</formula2>
    </dataValidation>
  </dataValidations>
  <hyperlinks>
    <hyperlink ref="D22:F22" r:id="rId1" display="https://youtu.be/B4xHkO9xJhQ" xr:uid="{3B28D366-E42F-433F-B681-B34C4A2CE3AD}"/>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249977111117893"/>
  </sheetPr>
  <dimension ref="A2:BT84"/>
  <sheetViews>
    <sheetView showGridLines="0" zoomScale="80" zoomScaleNormal="80" workbookViewId="0">
      <selection activeCell="V10" sqref="V10"/>
    </sheetView>
  </sheetViews>
  <sheetFormatPr defaultColWidth="8.85546875" defaultRowHeight="14.25"/>
  <cols>
    <col min="1" max="1" width="0.5703125" style="40" customWidth="1"/>
    <col min="2" max="2" width="6.42578125" style="40" customWidth="1"/>
    <col min="3" max="3" width="9.5703125" style="41" customWidth="1"/>
    <col min="4" max="5" width="10.85546875" style="40" hidden="1" customWidth="1"/>
    <col min="6" max="6" width="8" style="40" hidden="1" customWidth="1"/>
    <col min="7" max="7" width="9.28515625" style="40" hidden="1" customWidth="1"/>
    <col min="8" max="8" width="10.140625" style="41" customWidth="1"/>
    <col min="9" max="9" width="9.140625" style="40" customWidth="1"/>
    <col min="10" max="10" width="8.85546875" style="40" customWidth="1"/>
    <col min="11" max="11" width="32.42578125" style="41" customWidth="1"/>
    <col min="12" max="12" width="11.42578125" style="61" customWidth="1"/>
    <col min="13" max="13" width="6.140625" style="61" customWidth="1"/>
    <col min="14" max="19" width="8.7109375" style="61" customWidth="1"/>
    <col min="20" max="20" width="9.85546875" style="40" customWidth="1"/>
    <col min="21" max="21" width="8.42578125" style="40" customWidth="1"/>
    <col min="22" max="22" width="8.7109375" style="40" customWidth="1"/>
    <col min="23" max="23" width="6.85546875" style="40" bestFit="1" customWidth="1"/>
    <col min="24" max="24" width="6.85546875" style="40" customWidth="1"/>
    <col min="25" max="25" width="6.42578125" style="40" customWidth="1"/>
    <col min="26" max="26" width="8.5703125" style="40" customWidth="1"/>
    <col min="27" max="27" width="7.5703125" style="40" customWidth="1"/>
    <col min="28" max="28" width="6" style="40" customWidth="1"/>
    <col min="29" max="30" width="10.28515625" style="40" customWidth="1"/>
    <col min="31" max="31" width="7.7109375" style="40" customWidth="1"/>
    <col min="32" max="32" width="40" style="40" customWidth="1"/>
    <col min="33" max="34" width="8.85546875" style="40" hidden="1" customWidth="1"/>
    <col min="35" max="35" width="11.42578125" style="40" hidden="1" customWidth="1"/>
    <col min="36" max="37" width="8.85546875" style="40" hidden="1" customWidth="1"/>
    <col min="38" max="38" width="0" style="40" hidden="1" customWidth="1"/>
    <col min="39" max="16384" width="8.85546875" style="40"/>
  </cols>
  <sheetData>
    <row r="2" spans="1:38" ht="30" customHeight="1">
      <c r="A2" s="63"/>
      <c r="B2" s="75" t="s">
        <v>68</v>
      </c>
      <c r="C2" s="180"/>
      <c r="D2" s="71"/>
      <c r="E2" s="71"/>
      <c r="F2" s="71"/>
      <c r="G2" s="71"/>
      <c r="H2" s="71"/>
      <c r="I2" s="72"/>
      <c r="J2" s="72"/>
      <c r="K2" s="72"/>
      <c r="L2" s="271"/>
      <c r="M2" s="72"/>
      <c r="N2" s="72"/>
      <c r="O2" s="72"/>
      <c r="P2" s="72"/>
      <c r="Q2" s="72"/>
      <c r="R2" s="72"/>
      <c r="S2" s="72"/>
      <c r="T2" s="72"/>
      <c r="U2" s="72"/>
      <c r="V2" s="72"/>
      <c r="W2" s="72"/>
      <c r="X2" s="72"/>
      <c r="Y2" s="72"/>
      <c r="Z2" s="72"/>
      <c r="AA2" s="72"/>
      <c r="AB2" s="73"/>
      <c r="AC2" s="73"/>
      <c r="AD2" s="73"/>
      <c r="AE2" s="73" t="str">
        <f>'📝 Instructions'!E4&amp;" |Aswini Bajaj"</f>
        <v>CFA L-1 |Aswini Bajaj</v>
      </c>
    </row>
    <row r="3" spans="1:38" ht="11.25" customHeight="1">
      <c r="B3" s="62"/>
      <c r="C3" s="181"/>
      <c r="D3" s="62"/>
      <c r="E3" s="62"/>
      <c r="F3" s="62"/>
      <c r="G3" s="62"/>
      <c r="H3" s="62"/>
      <c r="I3" s="62"/>
      <c r="J3" s="62"/>
    </row>
    <row r="4" spans="1:38" ht="20.100000000000001" customHeight="1">
      <c r="B4" s="286" t="s">
        <v>128</v>
      </c>
      <c r="C4" s="286"/>
      <c r="D4" s="286"/>
      <c r="E4" s="286"/>
      <c r="F4" s="286"/>
      <c r="G4" s="286"/>
      <c r="H4" s="286"/>
      <c r="I4" s="286"/>
      <c r="J4" s="286"/>
      <c r="K4" s="286"/>
      <c r="L4" s="286"/>
      <c r="M4" s="286"/>
      <c r="N4" s="286"/>
      <c r="O4" s="286"/>
      <c r="P4" s="286"/>
      <c r="Q4" s="286"/>
      <c r="R4" s="287" t="s">
        <v>7</v>
      </c>
      <c r="S4" s="288"/>
      <c r="T4" s="45">
        <f>SUM(Master_Data[Duration (hh:mm)])</f>
        <v>14.061805555555546</v>
      </c>
      <c r="U4" s="46">
        <v>1</v>
      </c>
      <c r="V4" s="47">
        <f>SUM(Master_Data[No. of Chapters])</f>
        <v>115</v>
      </c>
      <c r="W4" s="47">
        <f>SUM(Master_Data[No. of Chapters])</f>
        <v>115</v>
      </c>
      <c r="X4" s="47">
        <f>SUM(Master_Data[No. of Chapters])</f>
        <v>115</v>
      </c>
      <c r="Y4" s="47">
        <f>SUM(Master_Data[No. of Chapters])</f>
        <v>115</v>
      </c>
      <c r="Z4" s="47">
        <f>SUM(Master_Data[No. of Chapters])</f>
        <v>115</v>
      </c>
      <c r="AA4" s="47">
        <f>SUM(Master_Data[No. of Chapters])</f>
        <v>115</v>
      </c>
      <c r="AB4" s="47">
        <f>SUM(Master_Data[No. of Chapters])</f>
        <v>115</v>
      </c>
      <c r="AC4" s="47">
        <f>SUM(Master_Data[No. of Chapters])</f>
        <v>115</v>
      </c>
      <c r="AD4" s="47">
        <f>SUM(Master_Data[No. of Chapters])</f>
        <v>115</v>
      </c>
      <c r="AE4" s="47">
        <v>5</v>
      </c>
      <c r="AG4" s="68"/>
    </row>
    <row r="5" spans="1:38" ht="20.100000000000001" customHeight="1">
      <c r="B5" s="286"/>
      <c r="C5" s="286"/>
      <c r="D5" s="286"/>
      <c r="E5" s="286"/>
      <c r="F5" s="286"/>
      <c r="G5" s="286"/>
      <c r="H5" s="286"/>
      <c r="I5" s="286"/>
      <c r="J5" s="286"/>
      <c r="K5" s="286"/>
      <c r="L5" s="286"/>
      <c r="M5" s="286"/>
      <c r="N5" s="286"/>
      <c r="O5" s="286"/>
      <c r="P5" s="286"/>
      <c r="Q5" s="286"/>
      <c r="R5" s="287" t="s">
        <v>52</v>
      </c>
      <c r="S5" s="288"/>
      <c r="T5" s="45">
        <f>SUMIF(Master_Data[Lectures],"d",Master_Data[Duration (hh:mm)])</f>
        <v>0</v>
      </c>
      <c r="U5" s="46">
        <f>T5/T4</f>
        <v>0</v>
      </c>
      <c r="V5" s="48">
        <f>SUMIFS(Master_Data[No. of Chapters],Master_Data[Lectures],"d")</f>
        <v>0</v>
      </c>
      <c r="W5" s="48">
        <f>SUMIFS(Master_Data[No. of Chapters],Master_Data[Self Study],"d")</f>
        <v>0</v>
      </c>
      <c r="X5" s="48">
        <f>SUMIFS(Master_Data[No. of Chapters],Master_Data[Inst. EOC Ques.],"d")</f>
        <v>0</v>
      </c>
      <c r="Y5" s="48">
        <f>SUMIFS(Master_Data[No. of Chapters],Master_Data[Class Test Book],"d")</f>
        <v>0</v>
      </c>
      <c r="Z5" s="48">
        <f>SUMIFS(Master_Data[No. of Chapters],Master_Data[Revision],"d")</f>
        <v>0</v>
      </c>
      <c r="AA5" s="48">
        <f>SUMIFS(Master_Data[No. of Chapters],Master_Data[Inst. Online Portal],"d")</f>
        <v>0</v>
      </c>
      <c r="AB5" s="48">
        <f>SUMIFS(Master_Data[No. of Chapters],Master_Data[Prac. Book],"d")</f>
        <v>0</v>
      </c>
      <c r="AC5" s="48">
        <f>SUMIFS(Master_Data[No. of Chapters],Master_Data[Schweser Prac. Bk 1],"d")</f>
        <v>0</v>
      </c>
      <c r="AD5" s="48">
        <f>SUMIFS(Master_Data[No. of Chapters],Master_Data[Schweser Prac. Bk 2],"d")</f>
        <v>0</v>
      </c>
      <c r="AE5" s="48">
        <f>SUMPRODUCT(Master_Data[Confidence Level],Master_Data[Total weights])</f>
        <v>2.6513674295629186</v>
      </c>
      <c r="AG5" s="68"/>
    </row>
    <row r="6" spans="1:38" ht="20.100000000000001" customHeight="1">
      <c r="B6" s="64"/>
      <c r="C6" s="182"/>
      <c r="D6" s="64"/>
      <c r="E6" s="64"/>
      <c r="F6" s="64"/>
      <c r="G6" s="64"/>
      <c r="H6" s="64"/>
      <c r="I6" s="64"/>
      <c r="J6" s="62"/>
      <c r="K6" s="65" t="s">
        <v>114</v>
      </c>
      <c r="L6" s="272"/>
      <c r="M6" s="66">
        <f>AVERAGE(Master_Data[No. of LOS2])</f>
        <v>6.9078947368421053</v>
      </c>
      <c r="N6" s="66">
        <f>AVERAGE(Master_Data[Lengthy])</f>
        <v>3.4736842105263159</v>
      </c>
      <c r="O6" s="66">
        <f>AVERAGE(Master_Data[Numerical or Not])</f>
        <v>2.4078947368421053</v>
      </c>
      <c r="P6" s="66">
        <f>AVERAGE(Master_Data[Diff. Level])</f>
        <v>3.4210526315789473</v>
      </c>
      <c r="Q6" s="66">
        <f>AVERAGE(Master_Data[Confusing])</f>
        <v>3.5526315789473686</v>
      </c>
      <c r="R6" s="66">
        <f>AVERAGE(Master_Data[Imp. Level])</f>
        <v>3.8684210526315788</v>
      </c>
      <c r="S6" s="66">
        <f>AVERAGE(Master_Data[Reqd. Prac.])</f>
        <v>3.8421052631578947</v>
      </c>
      <c r="T6" s="67">
        <f>AVERAGE(Master_Data[Duration (hh:mm)])</f>
        <v>0.18502375730994139</v>
      </c>
      <c r="W6" s="54"/>
    </row>
    <row r="7" spans="1:38" ht="20.100000000000001" customHeight="1">
      <c r="B7" s="10">
        <v>1</v>
      </c>
      <c r="C7" s="10">
        <v>2</v>
      </c>
      <c r="D7" s="10"/>
      <c r="E7" s="10"/>
      <c r="F7" s="10"/>
      <c r="G7" s="10"/>
      <c r="H7" s="10">
        <v>3</v>
      </c>
      <c r="I7" s="10">
        <v>4</v>
      </c>
      <c r="J7" s="10"/>
      <c r="K7" s="10">
        <v>5</v>
      </c>
      <c r="L7" s="10"/>
      <c r="M7" s="10">
        <v>6</v>
      </c>
      <c r="N7" s="10">
        <v>7</v>
      </c>
      <c r="O7" s="10">
        <v>8</v>
      </c>
      <c r="P7" s="10">
        <v>9</v>
      </c>
      <c r="Q7" s="10">
        <v>10</v>
      </c>
      <c r="R7" s="10">
        <v>11</v>
      </c>
      <c r="S7" s="10">
        <v>12</v>
      </c>
      <c r="T7" s="10">
        <v>13</v>
      </c>
      <c r="U7" s="10">
        <v>14</v>
      </c>
      <c r="V7" s="10">
        <v>15</v>
      </c>
      <c r="W7" s="10">
        <v>16</v>
      </c>
      <c r="X7" s="10">
        <v>17</v>
      </c>
      <c r="Y7" s="10">
        <v>18</v>
      </c>
      <c r="Z7" s="10">
        <v>19</v>
      </c>
      <c r="AA7" s="10">
        <v>20</v>
      </c>
      <c r="AB7" s="10">
        <v>21</v>
      </c>
      <c r="AC7" s="10">
        <v>22</v>
      </c>
      <c r="AD7" s="10">
        <v>23</v>
      </c>
      <c r="AE7" s="10">
        <v>24</v>
      </c>
      <c r="AF7" s="10">
        <v>25</v>
      </c>
      <c r="AG7" s="1"/>
      <c r="AH7" s="1"/>
      <c r="AI7" s="1"/>
    </row>
    <row r="8" spans="1:38" s="28" customFormat="1" ht="63">
      <c r="B8" s="74" t="s">
        <v>28</v>
      </c>
      <c r="C8" s="74" t="s">
        <v>167</v>
      </c>
      <c r="D8" s="74" t="s">
        <v>156</v>
      </c>
      <c r="E8" s="74" t="s">
        <v>154</v>
      </c>
      <c r="F8" s="74" t="s">
        <v>228</v>
      </c>
      <c r="G8" s="74" t="s">
        <v>229</v>
      </c>
      <c r="H8" s="74" t="s">
        <v>3</v>
      </c>
      <c r="I8" s="74" t="s">
        <v>4</v>
      </c>
      <c r="J8" s="8" t="s">
        <v>134</v>
      </c>
      <c r="K8" s="8" t="s">
        <v>5</v>
      </c>
      <c r="L8" s="8" t="s">
        <v>177</v>
      </c>
      <c r="M8" s="8" t="s">
        <v>231</v>
      </c>
      <c r="N8" s="8" t="s">
        <v>116</v>
      </c>
      <c r="O8" s="8" t="s">
        <v>117</v>
      </c>
      <c r="P8" s="8" t="s">
        <v>118</v>
      </c>
      <c r="Q8" s="8" t="s">
        <v>89</v>
      </c>
      <c r="R8" s="8" t="s">
        <v>119</v>
      </c>
      <c r="S8" s="8" t="s">
        <v>120</v>
      </c>
      <c r="T8" s="8" t="s">
        <v>50</v>
      </c>
      <c r="U8" s="8" t="s">
        <v>121</v>
      </c>
      <c r="V8" s="8" t="s">
        <v>39</v>
      </c>
      <c r="W8" s="8" t="s">
        <v>40</v>
      </c>
      <c r="X8" s="8" t="s">
        <v>124</v>
      </c>
      <c r="Y8" s="8" t="s">
        <v>42</v>
      </c>
      <c r="Z8" s="8" t="s">
        <v>43</v>
      </c>
      <c r="AA8" s="8" t="s">
        <v>123</v>
      </c>
      <c r="AB8" s="8" t="s">
        <v>122</v>
      </c>
      <c r="AC8" s="8" t="s">
        <v>125</v>
      </c>
      <c r="AD8" s="8" t="s">
        <v>126</v>
      </c>
      <c r="AE8" s="8" t="s">
        <v>136</v>
      </c>
      <c r="AF8" s="8" t="s">
        <v>113</v>
      </c>
      <c r="AG8" s="8" t="s">
        <v>139</v>
      </c>
      <c r="AH8" s="8" t="s">
        <v>140</v>
      </c>
      <c r="AI8" s="8" t="s">
        <v>141</v>
      </c>
      <c r="AJ8" s="8" t="s">
        <v>35</v>
      </c>
      <c r="AK8" s="8" t="s">
        <v>137</v>
      </c>
      <c r="AL8" s="8" t="s">
        <v>278</v>
      </c>
    </row>
    <row r="9" spans="1:38" ht="27" customHeight="1">
      <c r="B9" s="3">
        <v>1</v>
      </c>
      <c r="C9" s="183" t="str">
        <f ca="1">IF(Master_Data[[#This Row],[Column1]]="Done","",IF(Master_Data[[#This Row],[Column1]]=MIN(Master_Data[Column1]),"Current Week",CONCATENATE("Week ",Master_Data[[#This Row],[Column1]])))</f>
        <v>Current Week</v>
      </c>
      <c r="D9" s="3">
        <f ca="1">IF(Master_Data[[#This Row],[Cum. Undone hrs]]=0,"Done",ROUNDUP(Master_Data[[#This Row],[Cum. Undone hrs]]/Working!$C$8,0))</f>
        <v>2</v>
      </c>
      <c r="E9" s="3" t="e">
        <f ca="1">IF(OR(D9=D8,D9=D8+1),Master_Data[[#This Row],[Column1]],D9-1)</f>
        <v>#VALUE!</v>
      </c>
      <c r="F9" s="15">
        <f>SUM($G$9:G9)</f>
        <v>0.4604166666666667</v>
      </c>
      <c r="G9" s="26">
        <f>IF(Master_Data[[#This Row],[Lectures]]="D","",Master_Data[[#This Row],[Duration (hh:mm)]])</f>
        <v>0.4604166666666667</v>
      </c>
      <c r="H9" s="2" t="s">
        <v>9</v>
      </c>
      <c r="I9" s="2" t="s">
        <v>239</v>
      </c>
      <c r="J9" s="2" t="s">
        <v>135</v>
      </c>
      <c r="K9" s="44" t="s">
        <v>265</v>
      </c>
      <c r="L9" s="273">
        <v>2</v>
      </c>
      <c r="M9" s="16">
        <v>11</v>
      </c>
      <c r="N9" s="43">
        <v>4</v>
      </c>
      <c r="O9" s="43">
        <v>5</v>
      </c>
      <c r="P9" s="43">
        <v>4</v>
      </c>
      <c r="Q9" s="43">
        <v>5</v>
      </c>
      <c r="R9" s="43">
        <v>5</v>
      </c>
      <c r="S9" s="43">
        <v>4</v>
      </c>
      <c r="T9" s="12">
        <v>0.4604166666666667</v>
      </c>
      <c r="U9" s="42">
        <f>(SUM($T$9:T9)/$T$4)*100</f>
        <v>3.2742357647291249</v>
      </c>
      <c r="V9" s="27" t="s">
        <v>6</v>
      </c>
      <c r="W9" s="27" t="s">
        <v>6</v>
      </c>
      <c r="X9" s="27" t="s">
        <v>6</v>
      </c>
      <c r="Y9" s="27" t="s">
        <v>6</v>
      </c>
      <c r="Z9" s="27" t="s">
        <v>6</v>
      </c>
      <c r="AA9" s="27" t="s">
        <v>6</v>
      </c>
      <c r="AB9" s="27" t="s">
        <v>6</v>
      </c>
      <c r="AC9" s="27" t="s">
        <v>6</v>
      </c>
      <c r="AD9" s="27" t="s">
        <v>6</v>
      </c>
      <c r="AE9" s="159">
        <v>3</v>
      </c>
      <c r="AF9" s="18"/>
      <c r="AG9" s="174">
        <f>R9/SUM($R$9:$R$72)</f>
        <v>2.0242914979757085E-2</v>
      </c>
      <c r="AH9" s="175">
        <f>Master_Data[[#This Row],[Imp. Level]]/SUMIF(Master_Data[Subject],Master_Data[[#This Row],[Subject]],Master_Data[Imp. Level])</f>
        <v>0.11363636363636363</v>
      </c>
      <c r="AI9" s="157">
        <f>Master_Data[[#This Row],[Subjectwise weights]]*Master_Data[[#This Row],[Confidence Level]]</f>
        <v>0.34090909090909088</v>
      </c>
      <c r="AJ9" s="158" t="str">
        <f>IF(AND(Master_Data[[#This Row],[Inst. EOC Ques.]]="D",Master_Data[[#This Row],[Class Test Book]]="D"),"D","U")</f>
        <v>U</v>
      </c>
      <c r="AK9" s="155" t="str">
        <f>IF(AND(Master_Data[[#This Row],[Inst. Online Portal]]="D",Master_Data[[#This Row],[Prac. Book]]="D",Master_Data[[#This Row],[Schweser Prac. Bk 1]]="D",Master_Data[[#This Row],[Schweser Prac. Bk 2]]="D"),"D","U")</f>
        <v>U</v>
      </c>
      <c r="AL9" s="270" t="str">
        <f>IF(AND(Master_Data[[#This Row],[Lectures]]="D",Master_Data[[#This Row],[Self Study]]="D"),Master_Data[[#This Row],[No. of Chapters]],"U")</f>
        <v>U</v>
      </c>
    </row>
    <row r="10" spans="1:38" ht="27" customHeight="1">
      <c r="B10" s="3">
        <v>2</v>
      </c>
      <c r="C10" s="183" t="str">
        <f ca="1">IF(Master_Data[[#This Row],[Column1]]="Done","",IF(Master_Data[[#This Row],[Column1]]=MIN(Master_Data[Column1]),"Current Week",CONCATENATE("Week ",Master_Data[[#This Row],[Column1]])))</f>
        <v>Week 3</v>
      </c>
      <c r="D10" s="3">
        <f ca="1">IF(Master_Data[[#This Row],[Cum. Undone hrs]]=0,"Done",ROUNDUP(Master_Data[[#This Row],[Cum. Undone hrs]]/Working!$C$8,0))</f>
        <v>3</v>
      </c>
      <c r="E10" s="3">
        <f ca="1">IF(OR(D10=D9,D10=D9+1),Master_Data[[#This Row],[Column1]],D10-1)</f>
        <v>3</v>
      </c>
      <c r="F10" s="15">
        <f>SUM($G$9:G10)</f>
        <v>0.75694444444444442</v>
      </c>
      <c r="G10" s="26">
        <f>IF(Master_Data[[#This Row],[Lectures]]="D","",Master_Data[[#This Row],[Duration (hh:mm)]])</f>
        <v>0.29652777777777778</v>
      </c>
      <c r="H10" s="2" t="s">
        <v>133</v>
      </c>
      <c r="I10" s="2">
        <v>24</v>
      </c>
      <c r="J10" s="2" t="s">
        <v>135</v>
      </c>
      <c r="K10" s="44" t="s">
        <v>206</v>
      </c>
      <c r="L10" s="273">
        <v>1</v>
      </c>
      <c r="M10" s="16">
        <v>4</v>
      </c>
      <c r="N10" s="43">
        <v>4</v>
      </c>
      <c r="O10" s="43">
        <v>4</v>
      </c>
      <c r="P10" s="43">
        <v>4</v>
      </c>
      <c r="Q10" s="43">
        <v>4</v>
      </c>
      <c r="R10" s="43">
        <v>5</v>
      </c>
      <c r="S10" s="43">
        <v>4</v>
      </c>
      <c r="T10" s="11">
        <v>0.29652777777777778</v>
      </c>
      <c r="U10" s="42">
        <f>(SUM($T$9:T10)/$T$4)*100</f>
        <v>5.3829818756481833</v>
      </c>
      <c r="V10" s="27" t="s">
        <v>6</v>
      </c>
      <c r="W10" s="27" t="s">
        <v>6</v>
      </c>
      <c r="X10" s="27" t="s">
        <v>6</v>
      </c>
      <c r="Y10" s="27" t="s">
        <v>6</v>
      </c>
      <c r="Z10" s="27" t="s">
        <v>6</v>
      </c>
      <c r="AA10" s="27" t="s">
        <v>6</v>
      </c>
      <c r="AB10" s="27" t="s">
        <v>6</v>
      </c>
      <c r="AC10" s="27" t="s">
        <v>6</v>
      </c>
      <c r="AD10" s="27" t="s">
        <v>6</v>
      </c>
      <c r="AE10" s="159">
        <v>3</v>
      </c>
      <c r="AF10" s="17"/>
      <c r="AG10" s="174">
        <f>R10/SUM($R$9:$R$84)</f>
        <v>1.7006802721088437E-2</v>
      </c>
      <c r="AH10" s="175">
        <f>Master_Data[[#This Row],[Imp. Level]]/SUMIF(Master_Data[Subject],Master_Data[[#This Row],[Subject]],Master_Data[Imp. Level])</f>
        <v>0.22727272727272727</v>
      </c>
      <c r="AI10" s="157">
        <f>Master_Data[[#This Row],[Subjectwise weights]]*Master_Data[[#This Row],[Confidence Level]]</f>
        <v>0.68181818181818177</v>
      </c>
      <c r="AJ10" s="158" t="str">
        <f>IF(AND(Master_Data[[#This Row],[Inst. EOC Ques.]]="D",Master_Data[[#This Row],[Class Test Book]]="D"),"D","U")</f>
        <v>U</v>
      </c>
      <c r="AK10" s="155" t="str">
        <f>IF(AND(Master_Data[[#This Row],[Inst. Online Portal]]="D",Master_Data[[#This Row],[Prac. Book]]="D",Master_Data[[#This Row],[Schweser Prac. Bk 1]]="D",Master_Data[[#This Row],[Schweser Prac. Bk 2]]="D"),"D","U")</f>
        <v>U</v>
      </c>
      <c r="AL10" s="270" t="str">
        <f>IF(AND(Master_Data[[#This Row],[Lectures]]="D",Master_Data[[#This Row],[Self Study]]="D"),Master_Data[[#This Row],[No. of Chapters]],"U")</f>
        <v>U</v>
      </c>
    </row>
    <row r="11" spans="1:38" ht="27" customHeight="1">
      <c r="B11" s="3">
        <v>3</v>
      </c>
      <c r="C11" s="183" t="str">
        <f ca="1">IF(Master_Data[[#This Row],[Column1]]="Done","",IF(Master_Data[[#This Row],[Column1]]=MIN(Master_Data[Column1]),"Current Week",CONCATENATE("Week ",Master_Data[[#This Row],[Column1]])))</f>
        <v>Week 4</v>
      </c>
      <c r="D11" s="3">
        <f ca="1">IF(Master_Data[[#This Row],[Cum. Undone hrs]]=0,"Done",ROUNDUP(Master_Data[[#This Row],[Cum. Undone hrs]]/Working!$C$8,0))</f>
        <v>4</v>
      </c>
      <c r="E11" s="3">
        <f ca="1">IF(OR(D11=D10,D11=D10+1),Master_Data[[#This Row],[Column1]],D11-1)</f>
        <v>4</v>
      </c>
      <c r="F11" s="15">
        <f>SUM($G$9:G11)</f>
        <v>1.0701388888888888</v>
      </c>
      <c r="G11" s="26">
        <f>IF(Master_Data[[#This Row],[Lectures]]="D","",Master_Data[[#This Row],[Duration (hh:mm)]])</f>
        <v>0.31319444444444444</v>
      </c>
      <c r="H11" s="2" t="s">
        <v>9</v>
      </c>
      <c r="I11" s="2" t="s">
        <v>240</v>
      </c>
      <c r="J11" s="2" t="s">
        <v>135</v>
      </c>
      <c r="K11" s="44" t="s">
        <v>266</v>
      </c>
      <c r="L11" s="273">
        <v>2</v>
      </c>
      <c r="M11" s="16">
        <v>15</v>
      </c>
      <c r="N11" s="43">
        <v>4</v>
      </c>
      <c r="O11" s="43">
        <v>4</v>
      </c>
      <c r="P11" s="43">
        <v>3</v>
      </c>
      <c r="Q11" s="43">
        <v>4</v>
      </c>
      <c r="R11" s="43">
        <v>4</v>
      </c>
      <c r="S11" s="43">
        <v>4</v>
      </c>
      <c r="T11" s="12">
        <v>0.31319444444444444</v>
      </c>
      <c r="U11" s="42">
        <f>(SUM($T$9:T11)/$T$4)*100</f>
        <v>7.610252358141147</v>
      </c>
      <c r="V11" s="27" t="s">
        <v>6</v>
      </c>
      <c r="W11" s="27" t="s">
        <v>6</v>
      </c>
      <c r="X11" s="27" t="s">
        <v>6</v>
      </c>
      <c r="Y11" s="27" t="s">
        <v>6</v>
      </c>
      <c r="Z11" s="27" t="s">
        <v>6</v>
      </c>
      <c r="AA11" s="27" t="s">
        <v>6</v>
      </c>
      <c r="AB11" s="27" t="s">
        <v>6</v>
      </c>
      <c r="AC11" s="27" t="s">
        <v>6</v>
      </c>
      <c r="AD11" s="27" t="s">
        <v>6</v>
      </c>
      <c r="AE11" s="159">
        <v>2</v>
      </c>
      <c r="AF11" s="17"/>
      <c r="AG11" s="174">
        <f>R11/SUM($R$9:$R$84)</f>
        <v>1.3605442176870748E-2</v>
      </c>
      <c r="AH11" s="175">
        <f>Master_Data[[#This Row],[Imp. Level]]/SUMIF(Master_Data[Subject],Master_Data[[#This Row],[Subject]],Master_Data[Imp. Level])</f>
        <v>9.0909090909090912E-2</v>
      </c>
      <c r="AI11" s="157">
        <f>Master_Data[[#This Row],[Subjectwise weights]]*Master_Data[[#This Row],[Confidence Level]]</f>
        <v>0.18181818181818182</v>
      </c>
      <c r="AJ11" s="158" t="str">
        <f>IF(AND(Master_Data[[#This Row],[Inst. EOC Ques.]]="D",Master_Data[[#This Row],[Class Test Book]]="D"),"D","U")</f>
        <v>U</v>
      </c>
      <c r="AK11" s="155" t="str">
        <f>IF(AND(Master_Data[[#This Row],[Inst. Online Portal]]="D",Master_Data[[#This Row],[Prac. Book]]="D",Master_Data[[#This Row],[Schweser Prac. Bk 1]]="D",Master_Data[[#This Row],[Schweser Prac. Bk 2]]="D"),"D","U")</f>
        <v>U</v>
      </c>
      <c r="AL11" s="270" t="str">
        <f>IF(AND(Master_Data[[#This Row],[Lectures]]="D",Master_Data[[#This Row],[Self Study]]="D"),Master_Data[[#This Row],[No. of Chapters]],"U")</f>
        <v>U</v>
      </c>
    </row>
    <row r="12" spans="1:38" ht="27" customHeight="1">
      <c r="B12" s="3">
        <v>4</v>
      </c>
      <c r="C12" s="183" t="str">
        <f ca="1">IF(Master_Data[[#This Row],[Column1]]="Done","",IF(Master_Data[[#This Row],[Column1]]=MIN(Master_Data[Column1]),"Current Week",CONCATENATE("Week ",Master_Data[[#This Row],[Column1]])))</f>
        <v>Week 4</v>
      </c>
      <c r="D12" s="3">
        <f ca="1">IF(Master_Data[[#This Row],[Cum. Undone hrs]]=0,"Done",ROUNDUP(Master_Data[[#This Row],[Cum. Undone hrs]]/Working!$C$8,0))</f>
        <v>4</v>
      </c>
      <c r="E12" s="3">
        <f ca="1">IF(OR(D12=D11,D12=D11+1),Master_Data[[#This Row],[Column1]],D12-1)</f>
        <v>4</v>
      </c>
      <c r="F12" s="15">
        <f>SUM($G$9:G12)</f>
        <v>1.1569444444444443</v>
      </c>
      <c r="G12" s="26">
        <f>IF(Master_Data[[#This Row],[Lectures]]="D","",Master_Data[[#This Row],[Duration (hh:mm)]])</f>
        <v>8.6805555555555566E-2</v>
      </c>
      <c r="H12" s="2" t="s">
        <v>9</v>
      </c>
      <c r="I12" s="2">
        <v>5</v>
      </c>
      <c r="J12" s="2" t="s">
        <v>135</v>
      </c>
      <c r="K12" s="44" t="s">
        <v>196</v>
      </c>
      <c r="L12" s="273">
        <v>1</v>
      </c>
      <c r="M12" s="16">
        <v>3</v>
      </c>
      <c r="N12" s="43">
        <v>4</v>
      </c>
      <c r="O12" s="43">
        <v>4</v>
      </c>
      <c r="P12" s="43">
        <v>3</v>
      </c>
      <c r="Q12" s="43">
        <v>4</v>
      </c>
      <c r="R12" s="43">
        <v>4</v>
      </c>
      <c r="S12" s="43">
        <v>4</v>
      </c>
      <c r="T12" s="12">
        <v>8.6805555555555566E-2</v>
      </c>
      <c r="U12" s="42">
        <f>(SUM($T$9:T12)/$T$4)*100</f>
        <v>8.2275667934219019</v>
      </c>
      <c r="V12" s="27" t="s">
        <v>6</v>
      </c>
      <c r="W12" s="27" t="s">
        <v>6</v>
      </c>
      <c r="X12" s="27" t="s">
        <v>6</v>
      </c>
      <c r="Y12" s="27" t="s">
        <v>6</v>
      </c>
      <c r="Z12" s="27" t="s">
        <v>6</v>
      </c>
      <c r="AA12" s="27" t="s">
        <v>6</v>
      </c>
      <c r="AB12" s="27" t="s">
        <v>6</v>
      </c>
      <c r="AC12" s="27" t="s">
        <v>6</v>
      </c>
      <c r="AD12" s="27" t="s">
        <v>6</v>
      </c>
      <c r="AE12" s="159">
        <v>3</v>
      </c>
      <c r="AF12" s="17"/>
      <c r="AG12" s="174">
        <f>R12/SUM($R$9:$R$84)</f>
        <v>1.3605442176870748E-2</v>
      </c>
      <c r="AH12" s="175">
        <f>Master_Data[[#This Row],[Imp. Level]]/SUMIF(Master_Data[Subject],Master_Data[[#This Row],[Subject]],Master_Data[Imp. Level])</f>
        <v>9.0909090909090912E-2</v>
      </c>
      <c r="AI12" s="157">
        <f>Master_Data[[#This Row],[Subjectwise weights]]*Master_Data[[#This Row],[Confidence Level]]</f>
        <v>0.27272727272727271</v>
      </c>
      <c r="AJ12" s="158" t="str">
        <f>IF(AND(Master_Data[[#This Row],[Inst. EOC Ques.]]="D",Master_Data[[#This Row],[Class Test Book]]="D"),"D","U")</f>
        <v>U</v>
      </c>
      <c r="AK12" s="155" t="str">
        <f>IF(AND(Master_Data[[#This Row],[Inst. Online Portal]]="D",Master_Data[[#This Row],[Prac. Book]]="D",Master_Data[[#This Row],[Schweser Prac. Bk 1]]="D",Master_Data[[#This Row],[Schweser Prac. Bk 2]]="D"),"D","U")</f>
        <v>U</v>
      </c>
      <c r="AL12" s="270" t="str">
        <f>IF(AND(Master_Data[[#This Row],[Lectures]]="D",Master_Data[[#This Row],[Self Study]]="D"),Master_Data[[#This Row],[No. of Chapters]],"U")</f>
        <v>U</v>
      </c>
    </row>
    <row r="13" spans="1:38" ht="27" customHeight="1">
      <c r="B13" s="3">
        <v>5</v>
      </c>
      <c r="C13" s="183" t="str">
        <f ca="1">IF(Master_Data[[#This Row],[Column1]]="Done","",IF(Master_Data[[#This Row],[Column1]]=MIN(Master_Data[Column1]),"Current Week",CONCATENATE("Week ",Master_Data[[#This Row],[Column1]])))</f>
        <v>Week 5</v>
      </c>
      <c r="D13" s="3">
        <f ca="1">IF(Master_Data[[#This Row],[Cum. Undone hrs]]=0,"Done",ROUNDUP(Master_Data[[#This Row],[Cum. Undone hrs]]/Working!$C$8,0))</f>
        <v>5</v>
      </c>
      <c r="E13" s="3">
        <f ca="1">IF(OR(D13=D12,D13=D12+1),Master_Data[[#This Row],[Column1]],D13-1)</f>
        <v>5</v>
      </c>
      <c r="F13" s="150">
        <f>SUM($G$9:G13)</f>
        <v>1.3555555555555554</v>
      </c>
      <c r="G13" s="26">
        <f>IF(Master_Data[[#This Row],[Lectures]]="D","",Master_Data[[#This Row],[Duration (hh:mm)]])</f>
        <v>0.1986111111111111</v>
      </c>
      <c r="H13" s="2" t="s">
        <v>9</v>
      </c>
      <c r="I13" s="2" t="s">
        <v>241</v>
      </c>
      <c r="J13" s="2" t="s">
        <v>135</v>
      </c>
      <c r="K13" s="44" t="s">
        <v>267</v>
      </c>
      <c r="L13" s="273">
        <v>2</v>
      </c>
      <c r="M13" s="16">
        <v>11</v>
      </c>
      <c r="N13" s="43">
        <v>4</v>
      </c>
      <c r="O13" s="43">
        <v>4</v>
      </c>
      <c r="P13" s="43">
        <v>3</v>
      </c>
      <c r="Q13" s="43">
        <v>4</v>
      </c>
      <c r="R13" s="43">
        <v>4</v>
      </c>
      <c r="S13" s="43">
        <v>4</v>
      </c>
      <c r="T13" s="13">
        <v>0.1986111111111111</v>
      </c>
      <c r="U13" s="42">
        <f>(SUM($T$9:T13)/$T$4)*100</f>
        <v>9.639982221344269</v>
      </c>
      <c r="V13" s="27" t="s">
        <v>6</v>
      </c>
      <c r="W13" s="27" t="s">
        <v>6</v>
      </c>
      <c r="X13" s="27" t="s">
        <v>6</v>
      </c>
      <c r="Y13" s="27" t="s">
        <v>6</v>
      </c>
      <c r="Z13" s="27" t="s">
        <v>6</v>
      </c>
      <c r="AA13" s="27" t="s">
        <v>6</v>
      </c>
      <c r="AB13" s="27" t="s">
        <v>6</v>
      </c>
      <c r="AC13" s="27" t="s">
        <v>6</v>
      </c>
      <c r="AD13" s="27" t="s">
        <v>6</v>
      </c>
      <c r="AE13" s="159">
        <v>3</v>
      </c>
      <c r="AF13" s="17"/>
      <c r="AG13" s="174">
        <f>R13/SUM($R$9:$R$84)</f>
        <v>1.3605442176870748E-2</v>
      </c>
      <c r="AH13" s="175">
        <f>Master_Data[[#This Row],[Imp. Level]]/SUMIF(Master_Data[Subject],Master_Data[[#This Row],[Subject]],Master_Data[Imp. Level])</f>
        <v>9.0909090909090912E-2</v>
      </c>
      <c r="AI13" s="157">
        <f>Master_Data[[#This Row],[Subjectwise weights]]*Master_Data[[#This Row],[Confidence Level]]</f>
        <v>0.27272727272727271</v>
      </c>
      <c r="AJ13" s="158" t="str">
        <f>IF(AND(Master_Data[[#This Row],[Inst. EOC Ques.]]="D",Master_Data[[#This Row],[Class Test Book]]="D"),"D","U")</f>
        <v>U</v>
      </c>
      <c r="AK13" s="155" t="str">
        <f>IF(AND(Master_Data[[#This Row],[Inst. Online Portal]]="D",Master_Data[[#This Row],[Prac. Book]]="D",Master_Data[[#This Row],[Schweser Prac. Bk 1]]="D",Master_Data[[#This Row],[Schweser Prac. Bk 2]]="D"),"D","U")</f>
        <v>U</v>
      </c>
      <c r="AL13" s="270" t="str">
        <f>IF(AND(Master_Data[[#This Row],[Lectures]]="D",Master_Data[[#This Row],[Self Study]]="D"),Master_Data[[#This Row],[No. of Chapters]],"U")</f>
        <v>U</v>
      </c>
    </row>
    <row r="14" spans="1:38" ht="27" customHeight="1">
      <c r="B14" s="3">
        <v>6</v>
      </c>
      <c r="C14" s="183" t="str">
        <f ca="1">IF(Master_Data[[#This Row],[Column1]]="Done","",IF(Master_Data[[#This Row],[Column1]]=MIN(Master_Data[Column1]),"Current Week",CONCATENATE("Week ",Master_Data[[#This Row],[Column1]])))</f>
        <v>Week 6</v>
      </c>
      <c r="D14" s="3">
        <f ca="1">IF(Master_Data[[#This Row],[Cum. Undone hrs]]=0,"Done",ROUNDUP(Master_Data[[#This Row],[Cum. Undone hrs]]/Working!$C$8,0))</f>
        <v>6</v>
      </c>
      <c r="E14" s="3">
        <f ca="1">IF(OR(D14=D13,D14=D13+1),Master_Data[[#This Row],[Column1]],D14-1)</f>
        <v>6</v>
      </c>
      <c r="F14" s="150">
        <f>SUM($G$9:G14)</f>
        <v>1.4986111111111109</v>
      </c>
      <c r="G14" s="26">
        <f>IF(Master_Data[[#This Row],[Lectures]]="D","",Master_Data[[#This Row],[Duration (hh:mm)]])</f>
        <v>0.14305555555555555</v>
      </c>
      <c r="H14" s="2" t="s">
        <v>224</v>
      </c>
      <c r="I14" s="2" t="s">
        <v>281</v>
      </c>
      <c r="J14" s="2" t="s">
        <v>135</v>
      </c>
      <c r="K14" s="44" t="s">
        <v>258</v>
      </c>
      <c r="L14" s="273">
        <v>2</v>
      </c>
      <c r="M14" s="16">
        <v>10</v>
      </c>
      <c r="N14" s="43">
        <v>1</v>
      </c>
      <c r="O14" s="43">
        <v>1</v>
      </c>
      <c r="P14" s="43">
        <v>1</v>
      </c>
      <c r="Q14" s="43">
        <v>1</v>
      </c>
      <c r="R14" s="43">
        <v>3</v>
      </c>
      <c r="S14" s="43">
        <v>2</v>
      </c>
      <c r="T14" s="13">
        <v>0.14305555555555555</v>
      </c>
      <c r="U14" s="42">
        <f>(SUM($T$9:T14)/$T$4)*100</f>
        <v>10.657316410686953</v>
      </c>
      <c r="V14" s="27" t="s">
        <v>6</v>
      </c>
      <c r="W14" s="27" t="s">
        <v>6</v>
      </c>
      <c r="X14" s="27" t="s">
        <v>6</v>
      </c>
      <c r="Y14" s="27" t="s">
        <v>6</v>
      </c>
      <c r="Z14" s="27" t="s">
        <v>6</v>
      </c>
      <c r="AA14" s="27" t="s">
        <v>6</v>
      </c>
      <c r="AB14" s="27" t="s">
        <v>6</v>
      </c>
      <c r="AC14" s="27" t="s">
        <v>6</v>
      </c>
      <c r="AD14" s="27" t="s">
        <v>6</v>
      </c>
      <c r="AE14" s="159">
        <v>2</v>
      </c>
      <c r="AF14" s="17"/>
      <c r="AG14" s="174">
        <f>R14/SUM($R$9:$R$84)</f>
        <v>1.020408163265306E-2</v>
      </c>
      <c r="AH14" s="175">
        <f>Master_Data[[#This Row],[Imp. Level]]/SUMIF(Master_Data[Subject],Master_Data[[#This Row],[Subject]],Master_Data[Imp. Level])</f>
        <v>7.4999999999999997E-2</v>
      </c>
      <c r="AI14" s="157">
        <f>Master_Data[[#This Row],[Subjectwise weights]]*Master_Data[[#This Row],[Confidence Level]]</f>
        <v>0.15</v>
      </c>
      <c r="AJ14" s="158" t="str">
        <f>IF(AND(Master_Data[[#This Row],[Inst. EOC Ques.]]="D",Master_Data[[#This Row],[Class Test Book]]="D"),"D","U")</f>
        <v>U</v>
      </c>
      <c r="AK14" s="155" t="str">
        <f>IF(AND(Master_Data[[#This Row],[Inst. Online Portal]]="D",Master_Data[[#This Row],[Prac. Book]]="D",Master_Data[[#This Row],[Schweser Prac. Bk 1]]="D",Master_Data[[#This Row],[Schweser Prac. Bk 2]]="D"),"D","U")</f>
        <v>U</v>
      </c>
      <c r="AL14" s="270" t="str">
        <f>IF(AND(Master_Data[[#This Row],[Lectures]]="D",Master_Data[[#This Row],[Self Study]]="D"),Master_Data[[#This Row],[No. of Chapters]],"U")</f>
        <v>U</v>
      </c>
    </row>
    <row r="15" spans="1:38" ht="27" customHeight="1">
      <c r="B15" s="3">
        <v>7</v>
      </c>
      <c r="C15" s="183" t="str">
        <f ca="1">IF(Master_Data[[#This Row],[Column1]]="Done","",IF(Master_Data[[#This Row],[Column1]]=MIN(Master_Data[Column1]),"Current Week",CONCATENATE("Week ",Master_Data[[#This Row],[Column1]])))</f>
        <v>Week 8</v>
      </c>
      <c r="D15" s="3">
        <f ca="1">IF(Master_Data[[#This Row],[Cum. Undone hrs]]=0,"Done",ROUNDUP(Master_Data[[#This Row],[Cum. Undone hrs]]/Working!$C$8,0))</f>
        <v>8</v>
      </c>
      <c r="E15" s="3">
        <f ca="1">IF(OR(D15=D14,D15=D14+1),Master_Data[[#This Row],[Column1]],D15-1)</f>
        <v>7</v>
      </c>
      <c r="F15" s="150">
        <f>SUM($G$9:G15)</f>
        <v>2.2618055555555552</v>
      </c>
      <c r="G15" s="26">
        <f>IF(Master_Data[[#This Row],[Lectures]]="D","",Master_Data[[#This Row],[Duration (hh:mm)]])</f>
        <v>0.7631944444444444</v>
      </c>
      <c r="H15" s="2" t="s">
        <v>224</v>
      </c>
      <c r="I15" s="2" t="s">
        <v>282</v>
      </c>
      <c r="J15" s="2" t="s">
        <v>135</v>
      </c>
      <c r="K15" s="44" t="s">
        <v>259</v>
      </c>
      <c r="L15" s="273">
        <v>4</v>
      </c>
      <c r="M15" s="16">
        <v>25</v>
      </c>
      <c r="N15" s="43">
        <v>3</v>
      </c>
      <c r="O15" s="43">
        <v>3</v>
      </c>
      <c r="P15" s="43">
        <v>3</v>
      </c>
      <c r="Q15" s="43">
        <v>3</v>
      </c>
      <c r="R15" s="43">
        <v>4</v>
      </c>
      <c r="S15" s="43">
        <v>4</v>
      </c>
      <c r="T15" s="13">
        <v>0.7631944444444444</v>
      </c>
      <c r="U15" s="42">
        <f>(SUM($T$9:T15)/$T$4)*100</f>
        <v>16.084744925675352</v>
      </c>
      <c r="V15" s="27" t="s">
        <v>6</v>
      </c>
      <c r="W15" s="27" t="s">
        <v>6</v>
      </c>
      <c r="X15" s="27" t="s">
        <v>6</v>
      </c>
      <c r="Y15" s="27" t="s">
        <v>6</v>
      </c>
      <c r="Z15" s="27" t="s">
        <v>6</v>
      </c>
      <c r="AA15" s="27" t="s">
        <v>6</v>
      </c>
      <c r="AB15" s="27" t="s">
        <v>6</v>
      </c>
      <c r="AC15" s="27" t="s">
        <v>6</v>
      </c>
      <c r="AD15" s="27" t="s">
        <v>6</v>
      </c>
      <c r="AE15" s="159">
        <v>2</v>
      </c>
      <c r="AF15" s="17"/>
      <c r="AG15" s="174">
        <f>R15/SUM($R$9:$R$84)</f>
        <v>1.3605442176870748E-2</v>
      </c>
      <c r="AH15" s="175">
        <f>Master_Data[[#This Row],[Imp. Level]]/SUMIF(Master_Data[Subject],Master_Data[[#This Row],[Subject]],Master_Data[Imp. Level])</f>
        <v>0.1</v>
      </c>
      <c r="AI15" s="157">
        <f>Master_Data[[#This Row],[Subjectwise weights]]*Master_Data[[#This Row],[Confidence Level]]</f>
        <v>0.2</v>
      </c>
      <c r="AJ15" s="158" t="str">
        <f>IF(AND(Master_Data[[#This Row],[Inst. EOC Ques.]]="D",Master_Data[[#This Row],[Class Test Book]]="D"),"D","U")</f>
        <v>U</v>
      </c>
      <c r="AK15" s="155" t="str">
        <f>IF(AND(Master_Data[[#This Row],[Inst. Online Portal]]="D",Master_Data[[#This Row],[Prac. Book]]="D",Master_Data[[#This Row],[Schweser Prac. Bk 1]]="D",Master_Data[[#This Row],[Schweser Prac. Bk 2]]="D"),"D","U")</f>
        <v>U</v>
      </c>
      <c r="AL15" s="270" t="str">
        <f>IF(AND(Master_Data[[#This Row],[Lectures]]="D",Master_Data[[#This Row],[Self Study]]="D"),Master_Data[[#This Row],[No. of Chapters]],"U")</f>
        <v>U</v>
      </c>
    </row>
    <row r="16" spans="1:38" ht="27" customHeight="1">
      <c r="B16" s="3">
        <v>8</v>
      </c>
      <c r="C16" s="183" t="str">
        <f ca="1">IF(Master_Data[[#This Row],[Column1]]="Done","",IF(Master_Data[[#This Row],[Column1]]=MIN(Master_Data[Column1]),"Current Week",CONCATENATE("Week ",Master_Data[[#This Row],[Column1]])))</f>
        <v>Week 9</v>
      </c>
      <c r="D16" s="3">
        <f ca="1">IF(Master_Data[[#This Row],[Cum. Undone hrs]]=0,"Done",ROUNDUP(Master_Data[[#This Row],[Cum. Undone hrs]]/Working!$C$8,0))</f>
        <v>9</v>
      </c>
      <c r="E16" s="3">
        <f ca="1">IF(OR(D16=D15,D16=D15+1),Master_Data[[#This Row],[Column1]],D16-1)</f>
        <v>9</v>
      </c>
      <c r="F16" s="15">
        <f>SUM($G$9:G16)</f>
        <v>2.5993055555555551</v>
      </c>
      <c r="G16" s="26">
        <f>IF(Master_Data[[#This Row],[Lectures]]="D","",Master_Data[[#This Row],[Duration (hh:mm)]])</f>
        <v>0.33749999999999997</v>
      </c>
      <c r="H16" s="2" t="s">
        <v>9</v>
      </c>
      <c r="I16" s="2" t="s">
        <v>242</v>
      </c>
      <c r="J16" s="2" t="s">
        <v>135</v>
      </c>
      <c r="K16" s="44" t="s">
        <v>268</v>
      </c>
      <c r="L16" s="273">
        <v>3</v>
      </c>
      <c r="M16" s="16">
        <v>19</v>
      </c>
      <c r="N16" s="43">
        <v>3</v>
      </c>
      <c r="O16" s="43">
        <v>4</v>
      </c>
      <c r="P16" s="43">
        <v>4</v>
      </c>
      <c r="Q16" s="43">
        <v>4</v>
      </c>
      <c r="R16" s="43">
        <v>4</v>
      </c>
      <c r="S16" s="43">
        <v>4</v>
      </c>
      <c r="T16" s="12">
        <v>0.33749999999999997</v>
      </c>
      <c r="U16" s="42">
        <f>(SUM($T$9:T16)/$T$4)*100</f>
        <v>18.484863450046927</v>
      </c>
      <c r="V16" s="27" t="s">
        <v>6</v>
      </c>
      <c r="W16" s="27" t="s">
        <v>6</v>
      </c>
      <c r="X16" s="27" t="s">
        <v>6</v>
      </c>
      <c r="Y16" s="27" t="s">
        <v>6</v>
      </c>
      <c r="Z16" s="27" t="s">
        <v>6</v>
      </c>
      <c r="AA16" s="27" t="s">
        <v>6</v>
      </c>
      <c r="AB16" s="27" t="s">
        <v>6</v>
      </c>
      <c r="AC16" s="27" t="s">
        <v>6</v>
      </c>
      <c r="AD16" s="27" t="s">
        <v>6</v>
      </c>
      <c r="AE16" s="159">
        <v>2</v>
      </c>
      <c r="AF16" s="17"/>
      <c r="AG16" s="174">
        <f>R16/SUM($R$9:$R$84)</f>
        <v>1.3605442176870748E-2</v>
      </c>
      <c r="AH16" s="175">
        <f>Master_Data[[#This Row],[Imp. Level]]/SUMIF(Master_Data[Subject],Master_Data[[#This Row],[Subject]],Master_Data[Imp. Level])</f>
        <v>9.0909090909090912E-2</v>
      </c>
      <c r="AI16" s="157">
        <f>Master_Data[[#This Row],[Subjectwise weights]]*Master_Data[[#This Row],[Confidence Level]]</f>
        <v>0.18181818181818182</v>
      </c>
      <c r="AJ16" s="158" t="str">
        <f>IF(AND(Master_Data[[#This Row],[Inst. EOC Ques.]]="D",Master_Data[[#This Row],[Class Test Book]]="D"),"D","U")</f>
        <v>U</v>
      </c>
      <c r="AK16" s="155" t="str">
        <f>IF(AND(Master_Data[[#This Row],[Inst. Online Portal]]="D",Master_Data[[#This Row],[Prac. Book]]="D",Master_Data[[#This Row],[Schweser Prac. Bk 1]]="D",Master_Data[[#This Row],[Schweser Prac. Bk 2]]="D"),"D","U")</f>
        <v>U</v>
      </c>
      <c r="AL16" s="270" t="str">
        <f>IF(AND(Master_Data[[#This Row],[Lectures]]="D",Master_Data[[#This Row],[Self Study]]="D"),Master_Data[[#This Row],[No. of Chapters]],"U")</f>
        <v>U</v>
      </c>
    </row>
    <row r="17" spans="2:72" s="41" customFormat="1" ht="27" customHeight="1">
      <c r="B17" s="3">
        <v>9</v>
      </c>
      <c r="C17" s="183" t="str">
        <f ca="1">IF(Master_Data[[#This Row],[Column1]]="Done","",IF(Master_Data[[#This Row],[Column1]]=MIN(Master_Data[Column1]),"Current Week",CONCATENATE("Week ",Master_Data[[#This Row],[Column1]])))</f>
        <v>Week 12</v>
      </c>
      <c r="D17" s="3">
        <f ca="1">IF(Master_Data[[#This Row],[Cum. Undone hrs]]=0,"Done",ROUNDUP(Master_Data[[#This Row],[Cum. Undone hrs]]/Working!$C$8,0))</f>
        <v>12</v>
      </c>
      <c r="E17" s="3">
        <f ca="1">IF(OR(D17=D16,D17=D16+1),Master_Data[[#This Row],[Column1]],D17-1)</f>
        <v>11</v>
      </c>
      <c r="F17" s="150">
        <f>SUM($G$9:G19)</f>
        <v>3.4416666666666664</v>
      </c>
      <c r="G17" s="26">
        <f>IF(Master_Data[[#This Row],[Lectures]]="D","",Master_Data[[#This Row],[Duration (hh:mm)]])</f>
        <v>0.21249999999999999</v>
      </c>
      <c r="H17" s="2" t="s">
        <v>9</v>
      </c>
      <c r="I17" s="2" t="s">
        <v>243</v>
      </c>
      <c r="J17" s="2" t="s">
        <v>135</v>
      </c>
      <c r="K17" s="44" t="s">
        <v>269</v>
      </c>
      <c r="L17" s="273">
        <v>2</v>
      </c>
      <c r="M17" s="16">
        <v>7</v>
      </c>
      <c r="N17" s="43">
        <v>3</v>
      </c>
      <c r="O17" s="43">
        <v>4</v>
      </c>
      <c r="P17" s="43">
        <v>4</v>
      </c>
      <c r="Q17" s="43">
        <v>5</v>
      </c>
      <c r="R17" s="43">
        <v>4</v>
      </c>
      <c r="S17" s="43">
        <v>4</v>
      </c>
      <c r="T17" s="11">
        <v>0.21249999999999999</v>
      </c>
      <c r="U17" s="42">
        <f>(SUM($T$9:T17)/$T$4)*100</f>
        <v>19.996049187614211</v>
      </c>
      <c r="V17" s="27" t="s">
        <v>6</v>
      </c>
      <c r="W17" s="27" t="s">
        <v>6</v>
      </c>
      <c r="X17" s="27" t="s">
        <v>6</v>
      </c>
      <c r="Y17" s="27" t="s">
        <v>6</v>
      </c>
      <c r="Z17" s="27" t="s">
        <v>6</v>
      </c>
      <c r="AA17" s="27" t="s">
        <v>6</v>
      </c>
      <c r="AB17" s="27" t="s">
        <v>6</v>
      </c>
      <c r="AC17" s="27" t="s">
        <v>6</v>
      </c>
      <c r="AD17" s="27" t="s">
        <v>6</v>
      </c>
      <c r="AE17" s="159">
        <v>2</v>
      </c>
      <c r="AF17" s="17"/>
      <c r="AG17" s="174">
        <f>R17/SUM($R$9:$R$72)</f>
        <v>1.6194331983805668E-2</v>
      </c>
      <c r="AH17" s="176">
        <f>Master_Data[[#This Row],[Imp. Level]]/SUMIF(Master_Data[Subject],Master_Data[[#This Row],[Subject]],Master_Data[Imp. Level])</f>
        <v>9.0909090909090912E-2</v>
      </c>
      <c r="AI17" s="177">
        <f>Master_Data[[#This Row],[Subjectwise weights]]*Master_Data[[#This Row],[Confidence Level]]</f>
        <v>0.18181818181818182</v>
      </c>
      <c r="AJ17" s="155" t="str">
        <f>IF(AND(Master_Data[[#This Row],[Inst. EOC Ques.]]="D",Master_Data[[#This Row],[Class Test Book]]="D"),"D","U")</f>
        <v>U</v>
      </c>
      <c r="AK17" s="155" t="str">
        <f>IF(AND(Master_Data[[#This Row],[Inst. Online Portal]]="D",Master_Data[[#This Row],[Prac. Book]]="D",Master_Data[[#This Row],[Schweser Prac. Bk 1]]="D",Master_Data[[#This Row],[Schweser Prac. Bk 2]]="D"),"D","U")</f>
        <v>U</v>
      </c>
      <c r="AL17" s="270" t="str">
        <f>IF(AND(Master_Data[[#This Row],[Lectures]]="D",Master_Data[[#This Row],[Self Study]]="D"),Master_Data[[#This Row],[No. of Chapters]],"U")</f>
        <v>U</v>
      </c>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row>
    <row r="18" spans="2:72" ht="27" customHeight="1">
      <c r="B18" s="3">
        <v>10</v>
      </c>
      <c r="C18" s="183" t="str">
        <f ca="1">IF(Master_Data[[#This Row],[Column1]]="Done","",IF(Master_Data[[#This Row],[Column1]]=MIN(Master_Data[Column1]),"Current Week",CONCATENATE("Week ",Master_Data[[#This Row],[Column1]])))</f>
        <v>Week 11</v>
      </c>
      <c r="D18" s="3">
        <f ca="1">IF(Master_Data[[#This Row],[Cum. Undone hrs]]=0,"Done",ROUNDUP(Master_Data[[#This Row],[Cum. Undone hrs]]/Working!$C$8,0))</f>
        <v>11</v>
      </c>
      <c r="E18" s="3">
        <f ca="1">IF(OR(D18=D17,D18=D17+1),Master_Data[[#This Row],[Column1]],D18-1)</f>
        <v>10</v>
      </c>
      <c r="F18" s="150">
        <f>SUM($G$9:G18)</f>
        <v>3.181944444444444</v>
      </c>
      <c r="G18" s="26">
        <f>IF(Master_Data[[#This Row],[Lectures]]="D","",Master_Data[[#This Row],[Duration (hh:mm)]])</f>
        <v>0.37013888888888885</v>
      </c>
      <c r="H18" s="2" t="s">
        <v>9</v>
      </c>
      <c r="I18" s="2" t="s">
        <v>244</v>
      </c>
      <c r="J18" s="2" t="s">
        <v>135</v>
      </c>
      <c r="K18" s="44" t="s">
        <v>13</v>
      </c>
      <c r="L18" s="273">
        <v>2</v>
      </c>
      <c r="M18" s="16">
        <v>13</v>
      </c>
      <c r="N18" s="43">
        <v>5</v>
      </c>
      <c r="O18" s="43">
        <v>4</v>
      </c>
      <c r="P18" s="43">
        <v>5</v>
      </c>
      <c r="Q18" s="43">
        <v>5</v>
      </c>
      <c r="R18" s="43">
        <v>4</v>
      </c>
      <c r="S18" s="43">
        <v>4</v>
      </c>
      <c r="T18" s="13">
        <v>0.37013888888888885</v>
      </c>
      <c r="U18" s="42">
        <f>(SUM($T$9:T18)/$T$4)*100</f>
        <v>22.628277939651355</v>
      </c>
      <c r="V18" s="27" t="s">
        <v>6</v>
      </c>
      <c r="W18" s="27" t="s">
        <v>6</v>
      </c>
      <c r="X18" s="27" t="s">
        <v>6</v>
      </c>
      <c r="Y18" s="27" t="s">
        <v>6</v>
      </c>
      <c r="Z18" s="27" t="s">
        <v>6</v>
      </c>
      <c r="AA18" s="27" t="s">
        <v>6</v>
      </c>
      <c r="AB18" s="27" t="s">
        <v>6</v>
      </c>
      <c r="AC18" s="27" t="s">
        <v>6</v>
      </c>
      <c r="AD18" s="27" t="s">
        <v>6</v>
      </c>
      <c r="AE18" s="159">
        <v>2</v>
      </c>
      <c r="AF18" s="17"/>
      <c r="AG18" s="174">
        <f>R18/SUM($R$9:$R$84)</f>
        <v>1.3605442176870748E-2</v>
      </c>
      <c r="AH18" s="175">
        <f>Master_Data[[#This Row],[Imp. Level]]/SUMIF(Master_Data[Subject],Master_Data[[#This Row],[Subject]],Master_Data[Imp. Level])</f>
        <v>9.0909090909090912E-2</v>
      </c>
      <c r="AI18" s="157">
        <f>Master_Data[[#This Row],[Subjectwise weights]]*Master_Data[[#This Row],[Confidence Level]]</f>
        <v>0.18181818181818182</v>
      </c>
      <c r="AJ18" s="158" t="str">
        <f>IF(AND(Master_Data[[#This Row],[Inst. EOC Ques.]]="D",Master_Data[[#This Row],[Class Test Book]]="D"),"D","U")</f>
        <v>U</v>
      </c>
      <c r="AK18" s="155" t="str">
        <f>IF(AND(Master_Data[[#This Row],[Inst. Online Portal]]="D",Master_Data[[#This Row],[Prac. Book]]="D",Master_Data[[#This Row],[Schweser Prac. Bk 1]]="D",Master_Data[[#This Row],[Schweser Prac. Bk 2]]="D"),"D","U")</f>
        <v>U</v>
      </c>
      <c r="AL18" s="270" t="str">
        <f>IF(AND(Master_Data[[#This Row],[Lectures]]="D",Master_Data[[#This Row],[Self Study]]="D"),Master_Data[[#This Row],[No. of Chapters]],"U")</f>
        <v>U</v>
      </c>
    </row>
    <row r="19" spans="2:72" ht="27" customHeight="1">
      <c r="B19" s="3">
        <v>11</v>
      </c>
      <c r="C19" s="183" t="str">
        <f ca="1">IF(Master_Data[[#This Row],[Column1]]="Done","",IF(Master_Data[[#This Row],[Column1]]=MIN(Master_Data[Column1]),"Current Week",CONCATENATE("Week ",Master_Data[[#This Row],[Column1]])))</f>
        <v>Week 12</v>
      </c>
      <c r="D19" s="3">
        <f ca="1">IF(Master_Data[[#This Row],[Cum. Undone hrs]]=0,"Done",ROUNDUP(Master_Data[[#This Row],[Cum. Undone hrs]]/Working!$C$8,0))</f>
        <v>12</v>
      </c>
      <c r="E19" s="3">
        <f ca="1">IF(OR(D19=D18,D19=D18+1),Master_Data[[#This Row],[Column1]],D19-1)</f>
        <v>12</v>
      </c>
      <c r="F19" s="15">
        <f>SUM($G$9:G19)</f>
        <v>3.4416666666666664</v>
      </c>
      <c r="G19" s="26">
        <f>IF(Master_Data[[#This Row],[Lectures]]="D","",Master_Data[[#This Row],[Duration (hh:mm)]])</f>
        <v>0.25972222222222224</v>
      </c>
      <c r="H19" s="2" t="s">
        <v>224</v>
      </c>
      <c r="I19" s="2" t="s">
        <v>283</v>
      </c>
      <c r="J19" s="2" t="s">
        <v>135</v>
      </c>
      <c r="K19" s="44" t="s">
        <v>208</v>
      </c>
      <c r="L19" s="273">
        <v>3</v>
      </c>
      <c r="M19" s="16">
        <v>10</v>
      </c>
      <c r="N19" s="43">
        <v>3</v>
      </c>
      <c r="O19" s="43">
        <v>3</v>
      </c>
      <c r="P19" s="43">
        <v>4</v>
      </c>
      <c r="Q19" s="43">
        <v>4</v>
      </c>
      <c r="R19" s="43">
        <v>4</v>
      </c>
      <c r="S19" s="43">
        <v>4</v>
      </c>
      <c r="T19" s="12">
        <v>0.25972222222222224</v>
      </c>
      <c r="U19" s="42">
        <f>(SUM($T$9:T19)/$T$4)*100</f>
        <v>24.475282730011376</v>
      </c>
      <c r="V19" s="27" t="s">
        <v>6</v>
      </c>
      <c r="W19" s="27" t="s">
        <v>6</v>
      </c>
      <c r="X19" s="27" t="s">
        <v>6</v>
      </c>
      <c r="Y19" s="27" t="s">
        <v>6</v>
      </c>
      <c r="Z19" s="27" t="s">
        <v>6</v>
      </c>
      <c r="AA19" s="27" t="s">
        <v>6</v>
      </c>
      <c r="AB19" s="27" t="s">
        <v>6</v>
      </c>
      <c r="AC19" s="27" t="s">
        <v>6</v>
      </c>
      <c r="AD19" s="27" t="s">
        <v>6</v>
      </c>
      <c r="AE19" s="159">
        <v>3</v>
      </c>
      <c r="AF19" s="17"/>
      <c r="AG19" s="174">
        <f>R19/SUM($R$9:$R$84)</f>
        <v>1.3605442176870748E-2</v>
      </c>
      <c r="AH19" s="175">
        <f>Master_Data[[#This Row],[Imp. Level]]/SUMIF(Master_Data[Subject],Master_Data[[#This Row],[Subject]],Master_Data[Imp. Level])</f>
        <v>0.1</v>
      </c>
      <c r="AI19" s="157">
        <f>Master_Data[[#This Row],[Subjectwise weights]]*Master_Data[[#This Row],[Confidence Level]]</f>
        <v>0.30000000000000004</v>
      </c>
      <c r="AJ19" s="158" t="str">
        <f>IF(AND(Master_Data[[#This Row],[Inst. EOC Ques.]]="D",Master_Data[[#This Row],[Class Test Book]]="D"),"D","U")</f>
        <v>U</v>
      </c>
      <c r="AK19" s="155" t="str">
        <f>IF(AND(Master_Data[[#This Row],[Inst. Online Portal]]="D",Master_Data[[#This Row],[Prac. Book]]="D",Master_Data[[#This Row],[Schweser Prac. Bk 1]]="D",Master_Data[[#This Row],[Schweser Prac. Bk 2]]="D"),"D","U")</f>
        <v>U</v>
      </c>
      <c r="AL19" s="270" t="str">
        <f>IF(AND(Master_Data[[#This Row],[Lectures]]="D",Master_Data[[#This Row],[Self Study]]="D"),Master_Data[[#This Row],[No. of Chapters]],"U")</f>
        <v>U</v>
      </c>
    </row>
    <row r="20" spans="2:72" ht="27" customHeight="1">
      <c r="B20" s="3">
        <v>12</v>
      </c>
      <c r="C20" s="183" t="str">
        <f ca="1">IF(Master_Data[[#This Row],[Column1]]="Done","",IF(Master_Data[[#This Row],[Column1]]=MIN(Master_Data[Column1]),"Current Week",CONCATENATE("Week ",Master_Data[[#This Row],[Column1]])))</f>
        <v>Week 13</v>
      </c>
      <c r="D20" s="3">
        <f ca="1">IF(Master_Data[[#This Row],[Cum. Undone hrs]]=0,"Done",ROUNDUP(Master_Data[[#This Row],[Cum. Undone hrs]]/Working!$C$8,0))</f>
        <v>13</v>
      </c>
      <c r="E20" s="3">
        <f ca="1">IF(OR(D20=D19,D20=D19+1),Master_Data[[#This Row],[Column1]],D20-1)</f>
        <v>13</v>
      </c>
      <c r="F20" s="15">
        <f>SUM($G$9:G20)</f>
        <v>3.6965277777777774</v>
      </c>
      <c r="G20" s="26">
        <f>IF(Master_Data[[#This Row],[Lectures]]="D","",Master_Data[[#This Row],[Duration (hh:mm)]])</f>
        <v>0.25486111111111109</v>
      </c>
      <c r="H20" s="2" t="s">
        <v>224</v>
      </c>
      <c r="I20" s="2">
        <v>37</v>
      </c>
      <c r="J20" s="2" t="s">
        <v>135</v>
      </c>
      <c r="K20" s="44" t="s">
        <v>17</v>
      </c>
      <c r="L20" s="273">
        <v>1</v>
      </c>
      <c r="M20" s="16">
        <v>6</v>
      </c>
      <c r="N20" s="43">
        <v>4</v>
      </c>
      <c r="O20" s="43">
        <v>4</v>
      </c>
      <c r="P20" s="43">
        <v>3</v>
      </c>
      <c r="Q20" s="43">
        <v>3</v>
      </c>
      <c r="R20" s="43">
        <v>5</v>
      </c>
      <c r="S20" s="43">
        <v>4</v>
      </c>
      <c r="T20" s="12">
        <v>0.25486111111111109</v>
      </c>
      <c r="U20" s="42">
        <f>(SUM($T$9:T20)/$T$4)*100</f>
        <v>26.287717911995667</v>
      </c>
      <c r="V20" s="27" t="s">
        <v>6</v>
      </c>
      <c r="W20" s="27" t="s">
        <v>6</v>
      </c>
      <c r="X20" s="27" t="s">
        <v>6</v>
      </c>
      <c r="Y20" s="27" t="s">
        <v>6</v>
      </c>
      <c r="Z20" s="27" t="s">
        <v>6</v>
      </c>
      <c r="AA20" s="27" t="s">
        <v>6</v>
      </c>
      <c r="AB20" s="27" t="s">
        <v>6</v>
      </c>
      <c r="AC20" s="27" t="s">
        <v>6</v>
      </c>
      <c r="AD20" s="27" t="s">
        <v>6</v>
      </c>
      <c r="AE20" s="159">
        <v>3</v>
      </c>
      <c r="AF20" s="17"/>
      <c r="AG20" s="174">
        <f>R20/SUM($R$9:$R$84)</f>
        <v>1.7006802721088437E-2</v>
      </c>
      <c r="AH20" s="175">
        <f>Master_Data[[#This Row],[Imp. Level]]/SUMIF(Master_Data[Subject],Master_Data[[#This Row],[Subject]],Master_Data[Imp. Level])</f>
        <v>0.125</v>
      </c>
      <c r="AI20" s="157">
        <f>Master_Data[[#This Row],[Subjectwise weights]]*Master_Data[[#This Row],[Confidence Level]]</f>
        <v>0.375</v>
      </c>
      <c r="AJ20" s="158" t="str">
        <f>IF(AND(Master_Data[[#This Row],[Inst. EOC Ques.]]="D",Master_Data[[#This Row],[Class Test Book]]="D"),"D","U")</f>
        <v>U</v>
      </c>
      <c r="AK20" s="155" t="str">
        <f>IF(AND(Master_Data[[#This Row],[Inst. Online Portal]]="D",Master_Data[[#This Row],[Prac. Book]]="D",Master_Data[[#This Row],[Schweser Prac. Bk 1]]="D",Master_Data[[#This Row],[Schweser Prac. Bk 2]]="D"),"D","U")</f>
        <v>U</v>
      </c>
      <c r="AL20" s="270" t="str">
        <f>IF(AND(Master_Data[[#This Row],[Lectures]]="D",Master_Data[[#This Row],[Self Study]]="D"),Master_Data[[#This Row],[No. of Chapters]],"U")</f>
        <v>U</v>
      </c>
    </row>
    <row r="21" spans="2:72" ht="27" customHeight="1">
      <c r="B21" s="3">
        <v>13</v>
      </c>
      <c r="C21" s="183" t="str">
        <f ca="1">IF(Master_Data[[#This Row],[Column1]]="Done","",IF(Master_Data[[#This Row],[Column1]]=MIN(Master_Data[Column1]),"Current Week",CONCATENATE("Week ",Master_Data[[#This Row],[Column1]])))</f>
        <v>Week 13</v>
      </c>
      <c r="D21" s="3">
        <f ca="1">IF(Master_Data[[#This Row],[Cum. Undone hrs]]=0,"Done",ROUNDUP(Master_Data[[#This Row],[Cum. Undone hrs]]/Working!$C$8,0))</f>
        <v>13</v>
      </c>
      <c r="E21" s="3">
        <f ca="1">IF(OR(D21=D20,D21=D20+1),Master_Data[[#This Row],[Column1]],D21-1)</f>
        <v>13</v>
      </c>
      <c r="F21" s="15">
        <f>SUM($G$9:G21)</f>
        <v>3.7638888888888884</v>
      </c>
      <c r="G21" s="26">
        <f>IF(Master_Data[[#This Row],[Lectures]]="D","",Master_Data[[#This Row],[Duration (hh:mm)]])</f>
        <v>6.7361111111111108E-2</v>
      </c>
      <c r="H21" s="2" t="s">
        <v>9</v>
      </c>
      <c r="I21" s="2">
        <v>9</v>
      </c>
      <c r="J21" s="2" t="s">
        <v>135</v>
      </c>
      <c r="K21" s="44" t="s">
        <v>270</v>
      </c>
      <c r="L21" s="273">
        <v>1</v>
      </c>
      <c r="M21" s="16">
        <v>2</v>
      </c>
      <c r="N21" s="43">
        <v>5</v>
      </c>
      <c r="O21" s="43">
        <v>4</v>
      </c>
      <c r="P21" s="43">
        <v>5</v>
      </c>
      <c r="Q21" s="43">
        <v>5</v>
      </c>
      <c r="R21" s="43">
        <v>4</v>
      </c>
      <c r="S21" s="43">
        <v>4</v>
      </c>
      <c r="T21" s="11">
        <v>6.7361111111111108E-2</v>
      </c>
      <c r="U21" s="42">
        <f>(SUM($T$9:T21)/$T$4)*100</f>
        <v>26.766753913773535</v>
      </c>
      <c r="V21" s="27" t="s">
        <v>6</v>
      </c>
      <c r="W21" s="27" t="s">
        <v>6</v>
      </c>
      <c r="X21" s="27" t="s">
        <v>6</v>
      </c>
      <c r="Y21" s="27" t="s">
        <v>6</v>
      </c>
      <c r="Z21" s="27" t="s">
        <v>6</v>
      </c>
      <c r="AA21" s="27" t="s">
        <v>6</v>
      </c>
      <c r="AB21" s="27" t="s">
        <v>6</v>
      </c>
      <c r="AC21" s="27" t="s">
        <v>6</v>
      </c>
      <c r="AD21" s="27" t="s">
        <v>6</v>
      </c>
      <c r="AE21" s="159">
        <v>3</v>
      </c>
      <c r="AF21" s="17"/>
      <c r="AG21" s="174">
        <f>R21/SUM($R$9:$R$84)</f>
        <v>1.3605442176870748E-2</v>
      </c>
      <c r="AH21" s="175">
        <f>Master_Data[[#This Row],[Imp. Level]]/SUMIF(Master_Data[Subject],Master_Data[[#This Row],[Subject]],Master_Data[Imp. Level])</f>
        <v>9.0909090909090912E-2</v>
      </c>
      <c r="AI21" s="157">
        <f>Master_Data[[#This Row],[Subjectwise weights]]*Master_Data[[#This Row],[Confidence Level]]</f>
        <v>0.27272727272727271</v>
      </c>
      <c r="AJ21" s="158" t="str">
        <f>IF(AND(Master_Data[[#This Row],[Inst. EOC Ques.]]="D",Master_Data[[#This Row],[Class Test Book]]="D"),"D","U")</f>
        <v>U</v>
      </c>
      <c r="AK21" s="155" t="str">
        <f>IF(AND(Master_Data[[#This Row],[Inst. Online Portal]]="D",Master_Data[[#This Row],[Prac. Book]]="D",Master_Data[[#This Row],[Schweser Prac. Bk 1]]="D",Master_Data[[#This Row],[Schweser Prac. Bk 2]]="D"),"D","U")</f>
        <v>U</v>
      </c>
      <c r="AL21" s="270" t="str">
        <f>IF(AND(Master_Data[[#This Row],[Lectures]]="D",Master_Data[[#This Row],[Self Study]]="D"),Master_Data[[#This Row],[No. of Chapters]],"U")</f>
        <v>U</v>
      </c>
    </row>
    <row r="22" spans="2:72" ht="27" customHeight="1">
      <c r="B22" s="3">
        <v>14</v>
      </c>
      <c r="C22" s="183" t="str">
        <f ca="1">IF(Master_Data[[#This Row],[Column1]]="Done","",IF(Master_Data[[#This Row],[Column1]]=MIN(Master_Data[Column1]),"Current Week",CONCATENATE("Week ",Master_Data[[#This Row],[Column1]])))</f>
        <v>Week 14</v>
      </c>
      <c r="D22" s="3">
        <f ca="1">IF(Master_Data[[#This Row],[Cum. Undone hrs]]=0,"Done",ROUNDUP(Master_Data[[#This Row],[Cum. Undone hrs]]/Working!$C$8,0))</f>
        <v>14</v>
      </c>
      <c r="E22" s="3">
        <f ca="1">IF(OR(D22=D21,D22=D21+1),Master_Data[[#This Row],[Column1]],D22-1)</f>
        <v>14</v>
      </c>
      <c r="F22" s="26">
        <f>SUM($G$9:G22)</f>
        <v>3.905555555555555</v>
      </c>
      <c r="G22" s="3">
        <f>IF(Master_Data[[#This Row],[Lectures]]="D","",Master_Data[[#This Row],[Duration (hh:mm)]])</f>
        <v>0.14166666666666666</v>
      </c>
      <c r="H22" s="2" t="s">
        <v>9</v>
      </c>
      <c r="I22" s="2">
        <v>10</v>
      </c>
      <c r="J22" s="2" t="s">
        <v>135</v>
      </c>
      <c r="K22" s="44" t="s">
        <v>197</v>
      </c>
      <c r="L22" s="273">
        <v>1</v>
      </c>
      <c r="M22" s="16">
        <v>6</v>
      </c>
      <c r="N22" s="43">
        <v>3</v>
      </c>
      <c r="O22" s="43">
        <v>4</v>
      </c>
      <c r="P22" s="43">
        <v>4</v>
      </c>
      <c r="Q22" s="43">
        <v>4</v>
      </c>
      <c r="R22" s="43">
        <v>4</v>
      </c>
      <c r="S22" s="43">
        <v>4</v>
      </c>
      <c r="T22" s="11">
        <v>0.14166666666666666</v>
      </c>
      <c r="U22" s="42">
        <f>(SUM($T$9:T22)/$T$4)*100</f>
        <v>27.774211072151729</v>
      </c>
      <c r="V22" s="27" t="s">
        <v>6</v>
      </c>
      <c r="W22" s="27" t="s">
        <v>6</v>
      </c>
      <c r="X22" s="27" t="s">
        <v>6</v>
      </c>
      <c r="Y22" s="27" t="s">
        <v>6</v>
      </c>
      <c r="Z22" s="27" t="s">
        <v>6</v>
      </c>
      <c r="AA22" s="27" t="s">
        <v>6</v>
      </c>
      <c r="AB22" s="27" t="s">
        <v>6</v>
      </c>
      <c r="AC22" s="27" t="s">
        <v>6</v>
      </c>
      <c r="AD22" s="27" t="s">
        <v>6</v>
      </c>
      <c r="AE22" s="159">
        <v>3</v>
      </c>
      <c r="AF22" s="17"/>
      <c r="AG22" s="174">
        <f>R22/SUM($R$9:$R$84)</f>
        <v>1.3605442176870748E-2</v>
      </c>
      <c r="AH22" s="176">
        <f>Master_Data[[#This Row],[Imp. Level]]/SUMIF(Master_Data[Subject],Master_Data[[#This Row],[Subject]],Master_Data[Imp. Level])</f>
        <v>9.0909090909090912E-2</v>
      </c>
      <c r="AI22" s="177">
        <f>Master_Data[[#This Row],[Subjectwise weights]]*Master_Data[[#This Row],[Confidence Level]]</f>
        <v>0.27272727272727271</v>
      </c>
      <c r="AJ22" s="155" t="str">
        <f>IF(AND(Master_Data[[#This Row],[Inst. EOC Ques.]]="D",Master_Data[[#This Row],[Class Test Book]]="D"),"D","U")</f>
        <v>U</v>
      </c>
      <c r="AK22" s="155" t="str">
        <f>IF(AND(Master_Data[[#This Row],[Inst. Online Portal]]="D",Master_Data[[#This Row],[Prac. Book]]="D",Master_Data[[#This Row],[Schweser Prac. Bk 1]]="D",Master_Data[[#This Row],[Schweser Prac. Bk 2]]="D"),"D","U")</f>
        <v>U</v>
      </c>
      <c r="AL22" s="270" t="str">
        <f>IF(AND(Master_Data[[#This Row],[Lectures]]="D",Master_Data[[#This Row],[Self Study]]="D"),Master_Data[[#This Row],[No. of Chapters]],"U")</f>
        <v>U</v>
      </c>
    </row>
    <row r="23" spans="2:72" ht="27" customHeight="1">
      <c r="B23" s="3">
        <v>15</v>
      </c>
      <c r="C23" s="183" t="str">
        <f ca="1">IF(Master_Data[[#This Row],[Column1]]="Done","",IF(Master_Data[[#This Row],[Column1]]=MIN(Master_Data[Column1]),"Current Week",CONCATENATE("Week ",Master_Data[[#This Row],[Column1]])))</f>
        <v>Week 14</v>
      </c>
      <c r="D23" s="3">
        <f ca="1">IF(Master_Data[[#This Row],[Cum. Undone hrs]]=0,"Done",ROUNDUP(Master_Data[[#This Row],[Cum. Undone hrs]]/Working!$C$8,0))</f>
        <v>14</v>
      </c>
      <c r="E23" s="3">
        <f ca="1">IF(OR(D23=D22,D23=D22+1),Master_Data[[#This Row],[Column1]],D23-1)</f>
        <v>14</v>
      </c>
      <c r="F23" s="15">
        <f>SUM($G$9:G23)</f>
        <v>4.1118055555555548</v>
      </c>
      <c r="G23" s="26">
        <f>IF(Master_Data[[#This Row],[Lectures]]="D","",Master_Data[[#This Row],[Duration (hh:mm)]])</f>
        <v>0.20624999999999999</v>
      </c>
      <c r="H23" s="2" t="s">
        <v>224</v>
      </c>
      <c r="I23" s="2" t="s">
        <v>284</v>
      </c>
      <c r="J23" s="2" t="s">
        <v>135</v>
      </c>
      <c r="K23" s="44" t="s">
        <v>18</v>
      </c>
      <c r="L23" s="273">
        <v>2</v>
      </c>
      <c r="M23" s="16">
        <v>15</v>
      </c>
      <c r="N23" s="43">
        <v>4</v>
      </c>
      <c r="O23" s="43">
        <v>2</v>
      </c>
      <c r="P23" s="43">
        <v>4</v>
      </c>
      <c r="Q23" s="43">
        <v>4</v>
      </c>
      <c r="R23" s="43">
        <v>4</v>
      </c>
      <c r="S23" s="43">
        <v>4</v>
      </c>
      <c r="T23" s="13">
        <v>0.20624999999999999</v>
      </c>
      <c r="U23" s="42">
        <f>(SUM($T$9:T23)/$T$4)*100</f>
        <v>29.240950170378799</v>
      </c>
      <c r="V23" s="27" t="s">
        <v>6</v>
      </c>
      <c r="W23" s="27" t="s">
        <v>6</v>
      </c>
      <c r="X23" s="27" t="s">
        <v>6</v>
      </c>
      <c r="Y23" s="27" t="s">
        <v>6</v>
      </c>
      <c r="Z23" s="27" t="s">
        <v>6</v>
      </c>
      <c r="AA23" s="27" t="s">
        <v>6</v>
      </c>
      <c r="AB23" s="27" t="s">
        <v>6</v>
      </c>
      <c r="AC23" s="27" t="s">
        <v>6</v>
      </c>
      <c r="AD23" s="27" t="s">
        <v>6</v>
      </c>
      <c r="AE23" s="159">
        <v>2</v>
      </c>
      <c r="AF23" s="17"/>
      <c r="AG23" s="174">
        <f>R23/SUM($R$9:$R$72)</f>
        <v>1.6194331983805668E-2</v>
      </c>
      <c r="AH23" s="175">
        <f>Master_Data[[#This Row],[Imp. Level]]/SUMIF(Master_Data[Subject],Master_Data[[#This Row],[Subject]],Master_Data[Imp. Level])</f>
        <v>0.1</v>
      </c>
      <c r="AI23" s="157">
        <f>Master_Data[[#This Row],[Subjectwise weights]]*Master_Data[[#This Row],[Confidence Level]]</f>
        <v>0.2</v>
      </c>
      <c r="AJ23" s="158" t="str">
        <f>IF(AND(Master_Data[[#This Row],[Inst. EOC Ques.]]="D",Master_Data[[#This Row],[Class Test Book]]="D"),"D","U")</f>
        <v>U</v>
      </c>
      <c r="AK23" s="155" t="str">
        <f>IF(AND(Master_Data[[#This Row],[Inst. Online Portal]]="D",Master_Data[[#This Row],[Prac. Book]]="D",Master_Data[[#This Row],[Schweser Prac. Bk 1]]="D",Master_Data[[#This Row],[Schweser Prac. Bk 2]]="D"),"D","U")</f>
        <v>U</v>
      </c>
      <c r="AL23" s="270" t="str">
        <f>IF(AND(Master_Data[[#This Row],[Lectures]]="D",Master_Data[[#This Row],[Self Study]]="D"),Master_Data[[#This Row],[No. of Chapters]],"U")</f>
        <v>U</v>
      </c>
    </row>
    <row r="24" spans="2:72" ht="27" customHeight="1">
      <c r="B24" s="3">
        <v>16</v>
      </c>
      <c r="C24" s="183" t="str">
        <f ca="1">IF(Master_Data[[#This Row],[Column1]]="Done","",IF(Master_Data[[#This Row],[Column1]]=MIN(Master_Data[Column1]),"Current Week",CONCATENATE("Week ",Master_Data[[#This Row],[Column1]])))</f>
        <v>Week 15</v>
      </c>
      <c r="D24" s="3">
        <f ca="1">IF(Master_Data[[#This Row],[Cum. Undone hrs]]=0,"Done",ROUNDUP(Master_Data[[#This Row],[Cum. Undone hrs]]/Working!$C$8,0))</f>
        <v>15</v>
      </c>
      <c r="E24" s="3">
        <f ca="1">IF(OR(D24=D23,D24=D23+1),Master_Data[[#This Row],[Column1]],D24-1)</f>
        <v>15</v>
      </c>
      <c r="F24" s="15">
        <f>SUM($G$9:G24)</f>
        <v>4.37361111111111</v>
      </c>
      <c r="G24" s="26">
        <f>IF(Master_Data[[#This Row],[Lectures]]="D","",Master_Data[[#This Row],[Duration (hh:mm)]])</f>
        <v>0.26180555555555557</v>
      </c>
      <c r="H24" s="2" t="s">
        <v>224</v>
      </c>
      <c r="I24" s="2" t="s">
        <v>287</v>
      </c>
      <c r="J24" s="2" t="s">
        <v>135</v>
      </c>
      <c r="K24" s="44" t="s">
        <v>19</v>
      </c>
      <c r="L24" s="273">
        <v>2</v>
      </c>
      <c r="M24" s="16">
        <v>10</v>
      </c>
      <c r="N24" s="43">
        <v>4</v>
      </c>
      <c r="O24" s="43">
        <v>3</v>
      </c>
      <c r="P24" s="43">
        <v>5</v>
      </c>
      <c r="Q24" s="43">
        <v>5</v>
      </c>
      <c r="R24" s="43">
        <v>4</v>
      </c>
      <c r="S24" s="43">
        <v>4</v>
      </c>
      <c r="T24" s="13">
        <v>0.26180555555555557</v>
      </c>
      <c r="U24" s="42">
        <f>(SUM($T$9:T24)/$T$4)*100</f>
        <v>31.10277050718555</v>
      </c>
      <c r="V24" s="27" t="s">
        <v>6</v>
      </c>
      <c r="W24" s="27" t="s">
        <v>6</v>
      </c>
      <c r="X24" s="27" t="s">
        <v>6</v>
      </c>
      <c r="Y24" s="27" t="s">
        <v>6</v>
      </c>
      <c r="Z24" s="27" t="s">
        <v>6</v>
      </c>
      <c r="AA24" s="27" t="s">
        <v>6</v>
      </c>
      <c r="AB24" s="27" t="s">
        <v>6</v>
      </c>
      <c r="AC24" s="27" t="s">
        <v>6</v>
      </c>
      <c r="AD24" s="27" t="s">
        <v>6</v>
      </c>
      <c r="AE24" s="159">
        <v>2</v>
      </c>
      <c r="AF24" s="17"/>
      <c r="AG24" s="174">
        <f>R24/SUM($R$9:$R$84)</f>
        <v>1.3605442176870748E-2</v>
      </c>
      <c r="AH24" s="175">
        <f>Master_Data[[#This Row],[Imp. Level]]/SUMIF(Master_Data[Subject],Master_Data[[#This Row],[Subject]],Master_Data[Imp. Level])</f>
        <v>0.1</v>
      </c>
      <c r="AI24" s="157">
        <f>Master_Data[[#This Row],[Subjectwise weights]]*Master_Data[[#This Row],[Confidence Level]]</f>
        <v>0.2</v>
      </c>
      <c r="AJ24" s="158" t="str">
        <f>IF(AND(Master_Data[[#This Row],[Inst. EOC Ques.]]="D",Master_Data[[#This Row],[Class Test Book]]="D"),"D","U")</f>
        <v>U</v>
      </c>
      <c r="AK24" s="158" t="str">
        <f>IF(AND(Master_Data[[#This Row],[Inst. Online Portal]]="D",Master_Data[[#This Row],[Prac. Book]]="D",Master_Data[[#This Row],[Schweser Prac. Bk 1]]="D",Master_Data[[#This Row],[Schweser Prac. Bk 2]]="D"),"D","U")</f>
        <v>U</v>
      </c>
      <c r="AL24" s="270" t="str">
        <f>IF(AND(Master_Data[[#This Row],[Lectures]]="D",Master_Data[[#This Row],[Self Study]]="D"),Master_Data[[#This Row],[No. of Chapters]],"U")</f>
        <v>U</v>
      </c>
    </row>
    <row r="25" spans="2:72" ht="27" customHeight="1">
      <c r="B25" s="3">
        <v>17</v>
      </c>
      <c r="C25" s="183" t="str">
        <f ca="1">IF(Master_Data[[#This Row],[Column1]]="Done","",IF(Master_Data[[#This Row],[Column1]]=MIN(Master_Data[Column1]),"Current Week",CONCATENATE("Week ",Master_Data[[#This Row],[Column1]])))</f>
        <v>Week 16</v>
      </c>
      <c r="D25" s="3">
        <f ca="1">IF(Master_Data[[#This Row],[Cum. Undone hrs]]=0,"Done",ROUNDUP(Master_Data[[#This Row],[Cum. Undone hrs]]/Working!$C$8,0))</f>
        <v>16</v>
      </c>
      <c r="E25" s="3">
        <f ca="1">IF(OR(D25=D24,D25=D24+1),Master_Data[[#This Row],[Column1]],D25-1)</f>
        <v>16</v>
      </c>
      <c r="F25" s="150">
        <f>SUM($G$9:G25)</f>
        <v>4.5902777777777768</v>
      </c>
      <c r="G25" s="26">
        <f>IF(Master_Data[[#This Row],[Lectures]]="D","",Master_Data[[#This Row],[Duration (hh:mm)]])</f>
        <v>0.21666666666666667</v>
      </c>
      <c r="H25" s="2" t="s">
        <v>230</v>
      </c>
      <c r="I25" s="2" t="s">
        <v>292</v>
      </c>
      <c r="J25" s="2" t="s">
        <v>135</v>
      </c>
      <c r="K25" s="44" t="s">
        <v>245</v>
      </c>
      <c r="L25" s="273">
        <v>2</v>
      </c>
      <c r="M25" s="16">
        <v>5</v>
      </c>
      <c r="N25" s="43">
        <v>5</v>
      </c>
      <c r="O25" s="43">
        <v>2</v>
      </c>
      <c r="P25" s="43">
        <v>4</v>
      </c>
      <c r="Q25" s="43">
        <v>4</v>
      </c>
      <c r="R25" s="43">
        <v>5</v>
      </c>
      <c r="S25" s="43">
        <v>5</v>
      </c>
      <c r="T25" s="13">
        <v>0.21666666666666667</v>
      </c>
      <c r="U25" s="42">
        <f>(SUM($T$9:T25)/$T$4)*100</f>
        <v>32.643587337646316</v>
      </c>
      <c r="V25" s="27" t="s">
        <v>6</v>
      </c>
      <c r="W25" s="27" t="s">
        <v>6</v>
      </c>
      <c r="X25" s="27" t="s">
        <v>6</v>
      </c>
      <c r="Y25" s="27" t="s">
        <v>6</v>
      </c>
      <c r="Z25" s="27" t="s">
        <v>6</v>
      </c>
      <c r="AA25" s="27" t="s">
        <v>6</v>
      </c>
      <c r="AB25" s="27" t="s">
        <v>6</v>
      </c>
      <c r="AC25" s="27" t="s">
        <v>6</v>
      </c>
      <c r="AD25" s="27" t="s">
        <v>6</v>
      </c>
      <c r="AE25" s="159">
        <v>2</v>
      </c>
      <c r="AF25" s="17"/>
      <c r="AG25" s="174">
        <f>R25/SUM($R$9:$R$84)</f>
        <v>1.7006802721088437E-2</v>
      </c>
      <c r="AH25" s="175">
        <f>Master_Data[[#This Row],[Imp. Level]]/SUMIF(Master_Data[Subject],Master_Data[[#This Row],[Subject]],Master_Data[Imp. Level])</f>
        <v>0.16666666666666666</v>
      </c>
      <c r="AI25" s="157">
        <f>Master_Data[[#This Row],[Subjectwise weights]]*Master_Data[[#This Row],[Confidence Level]]</f>
        <v>0.33333333333333331</v>
      </c>
      <c r="AJ25" s="158" t="str">
        <f>IF(AND(Master_Data[[#This Row],[Inst. EOC Ques.]]="D",Master_Data[[#This Row],[Class Test Book]]="D"),"D","U")</f>
        <v>U</v>
      </c>
      <c r="AK25" s="155" t="str">
        <f>IF(AND(Master_Data[[#This Row],[Inst. Online Portal]]="D",Master_Data[[#This Row],[Prac. Book]]="D",Master_Data[[#This Row],[Schweser Prac. Bk 1]]="D",Master_Data[[#This Row],[Schweser Prac. Bk 2]]="D"),"D","U")</f>
        <v>U</v>
      </c>
      <c r="AL25" s="270" t="str">
        <f>IF(AND(Master_Data[[#This Row],[Lectures]]="D",Master_Data[[#This Row],[Self Study]]="D"),Master_Data[[#This Row],[No. of Chapters]],"U")</f>
        <v>U</v>
      </c>
    </row>
    <row r="26" spans="2:72" ht="27" customHeight="1">
      <c r="B26" s="3">
        <v>18</v>
      </c>
      <c r="C26" s="183" t="str">
        <f ca="1">IF(Master_Data[[#This Row],[Column1]]="Done","",IF(Master_Data[[#This Row],[Column1]]=MIN(Master_Data[Column1]),"Current Week",CONCATENATE("Week ",Master_Data[[#This Row],[Column1]])))</f>
        <v>Week 16</v>
      </c>
      <c r="D26" s="3">
        <f ca="1">IF(Master_Data[[#This Row],[Cum. Undone hrs]]=0,"Done",ROUNDUP(Master_Data[[#This Row],[Cum. Undone hrs]]/Working!$C$8,0))</f>
        <v>16</v>
      </c>
      <c r="E26" s="3">
        <f ca="1">IF(OR(D26=D25,D26=D25+1),Master_Data[[#This Row],[Column1]],D26-1)</f>
        <v>16</v>
      </c>
      <c r="F26" s="15">
        <f>SUM($G$9:G26)</f>
        <v>4.6840277777777768</v>
      </c>
      <c r="G26" s="26">
        <f>IF(Master_Data[[#This Row],[Lectures]]="D","",Master_Data[[#This Row],[Duration (hh:mm)]])</f>
        <v>9.375E-2</v>
      </c>
      <c r="H26" s="2" t="s">
        <v>230</v>
      </c>
      <c r="I26" s="2">
        <v>79</v>
      </c>
      <c r="J26" s="2" t="s">
        <v>135</v>
      </c>
      <c r="K26" s="44" t="s">
        <v>220</v>
      </c>
      <c r="L26" s="273">
        <v>1</v>
      </c>
      <c r="M26" s="16">
        <v>4</v>
      </c>
      <c r="N26" s="43">
        <v>5</v>
      </c>
      <c r="O26" s="43">
        <v>2</v>
      </c>
      <c r="P26" s="43">
        <v>4</v>
      </c>
      <c r="Q26" s="43">
        <v>4</v>
      </c>
      <c r="R26" s="43">
        <v>5</v>
      </c>
      <c r="S26" s="43">
        <v>5</v>
      </c>
      <c r="T26" s="13">
        <v>9.375E-2</v>
      </c>
      <c r="U26" s="42">
        <f>(SUM($T$9:T26)/$T$4)*100</f>
        <v>33.31028692774953</v>
      </c>
      <c r="V26" s="27" t="s">
        <v>6</v>
      </c>
      <c r="W26" s="27" t="s">
        <v>6</v>
      </c>
      <c r="X26" s="27" t="s">
        <v>6</v>
      </c>
      <c r="Y26" s="27" t="s">
        <v>6</v>
      </c>
      <c r="Z26" s="27" t="s">
        <v>6</v>
      </c>
      <c r="AA26" s="27" t="s">
        <v>6</v>
      </c>
      <c r="AB26" s="27" t="s">
        <v>6</v>
      </c>
      <c r="AC26" s="27" t="s">
        <v>6</v>
      </c>
      <c r="AD26" s="27" t="s">
        <v>6</v>
      </c>
      <c r="AE26" s="159">
        <v>2</v>
      </c>
      <c r="AF26" s="17"/>
      <c r="AG26" s="174">
        <f>R26/SUM($R$9:$R$84)</f>
        <v>1.7006802721088437E-2</v>
      </c>
      <c r="AH26" s="175">
        <f>Master_Data[[#This Row],[Imp. Level]]/SUMIF(Master_Data[Subject],Master_Data[[#This Row],[Subject]],Master_Data[Imp. Level])</f>
        <v>0.16666666666666666</v>
      </c>
      <c r="AI26" s="157">
        <f>Master_Data[[#This Row],[Subjectwise weights]]*Master_Data[[#This Row],[Confidence Level]]</f>
        <v>0.33333333333333331</v>
      </c>
      <c r="AJ26" s="158" t="str">
        <f>IF(AND(Master_Data[[#This Row],[Inst. EOC Ques.]]="D",Master_Data[[#This Row],[Class Test Book]]="D"),"D","U")</f>
        <v>U</v>
      </c>
      <c r="AK26" s="155" t="str">
        <f>IF(AND(Master_Data[[#This Row],[Inst. Online Portal]]="D",Master_Data[[#This Row],[Prac. Book]]="D",Master_Data[[#This Row],[Schweser Prac. Bk 1]]="D",Master_Data[[#This Row],[Schweser Prac. Bk 2]]="D"),"D","U")</f>
        <v>U</v>
      </c>
      <c r="AL26" s="270" t="str">
        <f>IF(AND(Master_Data[[#This Row],[Lectures]]="D",Master_Data[[#This Row],[Self Study]]="D"),Master_Data[[#This Row],[No. of Chapters]],"U")</f>
        <v>U</v>
      </c>
    </row>
    <row r="27" spans="2:72" ht="27" customHeight="1">
      <c r="B27" s="3">
        <v>19</v>
      </c>
      <c r="C27" s="183" t="str">
        <f ca="1">IF(Master_Data[[#This Row],[Column1]]="Done","",IF(Master_Data[[#This Row],[Column1]]=MIN(Master_Data[Column1]),"Current Week",CONCATENATE("Week ",Master_Data[[#This Row],[Column1]])))</f>
        <v>Week 17</v>
      </c>
      <c r="D27" s="3">
        <f ca="1">IF(Master_Data[[#This Row],[Cum. Undone hrs]]=0,"Done",ROUNDUP(Master_Data[[#This Row],[Cum. Undone hrs]]/Working!$C$8,0))</f>
        <v>17</v>
      </c>
      <c r="E27" s="3">
        <f ca="1">IF(OR(D27=D26,D27=D26+1),Master_Data[[#This Row],[Column1]],D27-1)</f>
        <v>17</v>
      </c>
      <c r="F27" s="15">
        <f>SUM($G$9:G27)</f>
        <v>4.7312499999999993</v>
      </c>
      <c r="G27" s="26">
        <f>IF(Master_Data[[#This Row],[Lectures]]="D","",Master_Data[[#This Row],[Duration (hh:mm)]])</f>
        <v>4.7222222222222221E-2</v>
      </c>
      <c r="H27" s="2" t="s">
        <v>230</v>
      </c>
      <c r="I27" s="2">
        <v>80</v>
      </c>
      <c r="J27" s="2" t="s">
        <v>135</v>
      </c>
      <c r="K27" s="44" t="s">
        <v>221</v>
      </c>
      <c r="L27" s="273">
        <v>1</v>
      </c>
      <c r="M27" s="16">
        <v>3</v>
      </c>
      <c r="N27" s="43">
        <v>5</v>
      </c>
      <c r="O27" s="43">
        <v>2</v>
      </c>
      <c r="P27" s="43">
        <v>4</v>
      </c>
      <c r="Q27" s="43">
        <v>4</v>
      </c>
      <c r="R27" s="43">
        <v>5</v>
      </c>
      <c r="S27" s="43">
        <v>5</v>
      </c>
      <c r="T27" s="12">
        <v>4.7222222222222221E-2</v>
      </c>
      <c r="U27" s="42">
        <f>(SUM($T$9:T27)/$T$4)*100</f>
        <v>33.646105980542266</v>
      </c>
      <c r="V27" s="27" t="s">
        <v>6</v>
      </c>
      <c r="W27" s="27" t="s">
        <v>6</v>
      </c>
      <c r="X27" s="27" t="s">
        <v>6</v>
      </c>
      <c r="Y27" s="27" t="s">
        <v>6</v>
      </c>
      <c r="Z27" s="27" t="s">
        <v>6</v>
      </c>
      <c r="AA27" s="27" t="s">
        <v>6</v>
      </c>
      <c r="AB27" s="27" t="s">
        <v>6</v>
      </c>
      <c r="AC27" s="27" t="s">
        <v>6</v>
      </c>
      <c r="AD27" s="27" t="s">
        <v>6</v>
      </c>
      <c r="AE27" s="159">
        <v>2</v>
      </c>
      <c r="AF27" s="17"/>
      <c r="AG27" s="174">
        <f>R27/SUM($R$9:$R$84)</f>
        <v>1.7006802721088437E-2</v>
      </c>
      <c r="AH27" s="175">
        <f>Master_Data[[#This Row],[Imp. Level]]/SUMIF(Master_Data[Subject],Master_Data[[#This Row],[Subject]],Master_Data[Imp. Level])</f>
        <v>0.16666666666666666</v>
      </c>
      <c r="AI27" s="157">
        <f>Master_Data[[#This Row],[Subjectwise weights]]*Master_Data[[#This Row],[Confidence Level]]</f>
        <v>0.33333333333333331</v>
      </c>
      <c r="AJ27" s="158" t="str">
        <f>IF(AND(Master_Data[[#This Row],[Inst. EOC Ques.]]="D",Master_Data[[#This Row],[Class Test Book]]="D"),"D","U")</f>
        <v>U</v>
      </c>
      <c r="AK27" s="155" t="str">
        <f>IF(AND(Master_Data[[#This Row],[Inst. Online Portal]]="D",Master_Data[[#This Row],[Prac. Book]]="D",Master_Data[[#This Row],[Schweser Prac. Bk 1]]="D",Master_Data[[#This Row],[Schweser Prac. Bk 2]]="D"),"D","U")</f>
        <v>U</v>
      </c>
      <c r="AL27" s="270" t="str">
        <f>IF(AND(Master_Data[[#This Row],[Lectures]]="D",Master_Data[[#This Row],[Self Study]]="D"),Master_Data[[#This Row],[No. of Chapters]],"U")</f>
        <v>U</v>
      </c>
    </row>
    <row r="28" spans="2:72" ht="27" customHeight="1">
      <c r="B28" s="3">
        <v>20</v>
      </c>
      <c r="C28" s="183" t="str">
        <f ca="1">IF(Master_Data[[#This Row],[Column1]]="Done","",IF(Master_Data[[#This Row],[Column1]]=MIN(Master_Data[Column1]),"Current Week",CONCATENATE("Week ",Master_Data[[#This Row],[Column1]])))</f>
        <v>Week 17</v>
      </c>
      <c r="D28" s="3">
        <f ca="1">IF(Master_Data[[#This Row],[Cum. Undone hrs]]=0,"Done",ROUNDUP(Master_Data[[#This Row],[Cum. Undone hrs]]/Working!$C$8,0))</f>
        <v>17</v>
      </c>
      <c r="E28" s="3">
        <f ca="1">IF(OR(D28=D27,D28=D27+1),Master_Data[[#This Row],[Column1]],D28-1)</f>
        <v>17</v>
      </c>
      <c r="F28" s="15">
        <f>SUM($G$9:G28)</f>
        <v>4.8194444444444438</v>
      </c>
      <c r="G28" s="26">
        <f>IF(Master_Data[[#This Row],[Lectures]]="D","",Master_Data[[#This Row],[Duration (hh:mm)]])</f>
        <v>8.819444444444445E-2</v>
      </c>
      <c r="H28" s="2" t="s">
        <v>230</v>
      </c>
      <c r="I28" s="2">
        <v>78</v>
      </c>
      <c r="J28" s="2" t="s">
        <v>135</v>
      </c>
      <c r="K28" s="44" t="s">
        <v>246</v>
      </c>
      <c r="L28" s="273">
        <v>1</v>
      </c>
      <c r="M28" s="16">
        <v>3</v>
      </c>
      <c r="N28" s="43">
        <v>5</v>
      </c>
      <c r="O28" s="43">
        <v>2</v>
      </c>
      <c r="P28" s="43">
        <v>4</v>
      </c>
      <c r="Q28" s="43">
        <v>4</v>
      </c>
      <c r="R28" s="43">
        <v>5</v>
      </c>
      <c r="S28" s="43">
        <v>5</v>
      </c>
      <c r="T28" s="13">
        <v>8.819444444444445E-2</v>
      </c>
      <c r="U28" s="42">
        <f>(SUM($T$9:T28)/$T$4)*100</f>
        <v>34.273297446787517</v>
      </c>
      <c r="V28" s="27" t="s">
        <v>6</v>
      </c>
      <c r="W28" s="27" t="s">
        <v>6</v>
      </c>
      <c r="X28" s="27" t="s">
        <v>6</v>
      </c>
      <c r="Y28" s="27" t="s">
        <v>6</v>
      </c>
      <c r="Z28" s="27" t="s">
        <v>6</v>
      </c>
      <c r="AA28" s="27" t="s">
        <v>6</v>
      </c>
      <c r="AB28" s="27" t="s">
        <v>6</v>
      </c>
      <c r="AC28" s="27" t="s">
        <v>6</v>
      </c>
      <c r="AD28" s="27" t="s">
        <v>6</v>
      </c>
      <c r="AE28" s="159">
        <v>3</v>
      </c>
      <c r="AF28" s="17"/>
      <c r="AG28" s="174">
        <f>R28/SUM($R$9:$R$84)</f>
        <v>1.7006802721088437E-2</v>
      </c>
      <c r="AH28" s="175">
        <f>Master_Data[[#This Row],[Imp. Level]]/SUMIF(Master_Data[Subject],Master_Data[[#This Row],[Subject]],Master_Data[Imp. Level])</f>
        <v>0.16666666666666666</v>
      </c>
      <c r="AI28" s="157">
        <f>Master_Data[[#This Row],[Subjectwise weights]]*Master_Data[[#This Row],[Confidence Level]]</f>
        <v>0.5</v>
      </c>
      <c r="AJ28" s="158" t="str">
        <f>IF(AND(Master_Data[[#This Row],[Inst. EOC Ques.]]="D",Master_Data[[#This Row],[Class Test Book]]="D"),"D","U")</f>
        <v>U</v>
      </c>
      <c r="AK28" s="155" t="str">
        <f>IF(AND(Master_Data[[#This Row],[Inst. Online Portal]]="D",Master_Data[[#This Row],[Prac. Book]]="D",Master_Data[[#This Row],[Schweser Prac. Bk 1]]="D",Master_Data[[#This Row],[Schweser Prac. Bk 2]]="D"),"D","U")</f>
        <v>U</v>
      </c>
      <c r="AL28" s="270" t="str">
        <f>IF(AND(Master_Data[[#This Row],[Lectures]]="D",Master_Data[[#This Row],[Self Study]]="D"),Master_Data[[#This Row],[No. of Chapters]],"U")</f>
        <v>U</v>
      </c>
    </row>
    <row r="29" spans="2:72" ht="27" customHeight="1">
      <c r="B29" s="3">
        <v>21</v>
      </c>
      <c r="C29" s="183" t="str">
        <f ca="1">IF(Master_Data[[#This Row],[Column1]]="Done","",IF(Master_Data[[#This Row],[Column1]]=MIN(Master_Data[Column1]),"Current Week",CONCATENATE("Week ",Master_Data[[#This Row],[Column1]])))</f>
        <v>Week 17</v>
      </c>
      <c r="D29" s="3">
        <f ca="1">IF(Master_Data[[#This Row],[Cum. Undone hrs]]=0,"Done",ROUNDUP(Master_Data[[#This Row],[Cum. Undone hrs]]/Working!$C$8,0))</f>
        <v>17</v>
      </c>
      <c r="E29" s="3">
        <f ca="1">IF(OR(D29=D28,D29=D28+1),Master_Data[[#This Row],[Column1]],D29-1)</f>
        <v>17</v>
      </c>
      <c r="F29" s="15">
        <f>SUM($G$9:G29)</f>
        <v>4.9187499999999993</v>
      </c>
      <c r="G29" s="26">
        <f>IF(Master_Data[[#This Row],[Lectures]]="D","",Master_Data[[#This Row],[Duration (hh:mm)]])</f>
        <v>9.930555555555555E-2</v>
      </c>
      <c r="H29" s="2" t="s">
        <v>230</v>
      </c>
      <c r="I29" s="2">
        <v>81</v>
      </c>
      <c r="J29" s="2" t="s">
        <v>135</v>
      </c>
      <c r="K29" s="44" t="s">
        <v>222</v>
      </c>
      <c r="L29" s="273">
        <v>1</v>
      </c>
      <c r="M29" s="16">
        <v>3</v>
      </c>
      <c r="N29" s="43">
        <v>5</v>
      </c>
      <c r="O29" s="43">
        <v>2</v>
      </c>
      <c r="P29" s="43">
        <v>4</v>
      </c>
      <c r="Q29" s="43">
        <v>4</v>
      </c>
      <c r="R29" s="43">
        <v>5</v>
      </c>
      <c r="S29" s="43">
        <v>5</v>
      </c>
      <c r="T29" s="11">
        <v>9.930555555555555E-2</v>
      </c>
      <c r="U29" s="42">
        <f>(SUM($T$9:T29)/$T$4)*100</f>
        <v>34.979505160748694</v>
      </c>
      <c r="V29" s="27" t="s">
        <v>6</v>
      </c>
      <c r="W29" s="27" t="s">
        <v>6</v>
      </c>
      <c r="X29" s="27" t="s">
        <v>6</v>
      </c>
      <c r="Y29" s="27" t="s">
        <v>6</v>
      </c>
      <c r="Z29" s="27" t="s">
        <v>6</v>
      </c>
      <c r="AA29" s="27" t="s">
        <v>6</v>
      </c>
      <c r="AB29" s="27" t="s">
        <v>6</v>
      </c>
      <c r="AC29" s="27" t="s">
        <v>6</v>
      </c>
      <c r="AD29" s="27" t="s">
        <v>6</v>
      </c>
      <c r="AE29" s="159">
        <v>2</v>
      </c>
      <c r="AF29" s="17"/>
      <c r="AG29" s="174">
        <f>R29/SUM($R$9:$R$84)</f>
        <v>1.7006802721088437E-2</v>
      </c>
      <c r="AH29" s="175">
        <f>Master_Data[[#This Row],[Imp. Level]]/SUMIF(Master_Data[Subject],Master_Data[[#This Row],[Subject]],Master_Data[Imp. Level])</f>
        <v>0.16666666666666666</v>
      </c>
      <c r="AI29" s="157">
        <f>Master_Data[[#This Row],[Subjectwise weights]]*Master_Data[[#This Row],[Confidence Level]]</f>
        <v>0.33333333333333331</v>
      </c>
      <c r="AJ29" s="158" t="str">
        <f>IF(AND(Master_Data[[#This Row],[Inst. EOC Ques.]]="D",Master_Data[[#This Row],[Class Test Book]]="D"),"D","U")</f>
        <v>U</v>
      </c>
      <c r="AK29" s="155" t="str">
        <f>IF(AND(Master_Data[[#This Row],[Inst. Online Portal]]="D",Master_Data[[#This Row],[Prac. Book]]="D",Master_Data[[#This Row],[Schweser Prac. Bk 1]]="D",Master_Data[[#This Row],[Schweser Prac. Bk 2]]="D"),"D","U")</f>
        <v>U</v>
      </c>
      <c r="AL29" s="270" t="str">
        <f>IF(AND(Master_Data[[#This Row],[Lectures]]="D",Master_Data[[#This Row],[Self Study]]="D"),Master_Data[[#This Row],[No. of Chapters]],"U")</f>
        <v>U</v>
      </c>
    </row>
    <row r="30" spans="2:72" ht="27" customHeight="1">
      <c r="B30" s="3">
        <v>22</v>
      </c>
      <c r="C30" s="183" t="str">
        <f ca="1">IF(Master_Data[[#This Row],[Column1]]="Done","",IF(Master_Data[[#This Row],[Column1]]=MIN(Master_Data[Column1]),"Current Week",CONCATENATE("Week ",Master_Data[[#This Row],[Column1]])))</f>
        <v>Week 18</v>
      </c>
      <c r="D30" s="3">
        <f ca="1">IF(Master_Data[[#This Row],[Cum. Undone hrs]]=0,"Done",ROUNDUP(Master_Data[[#This Row],[Cum. Undone hrs]]/Working!$C$8,0))</f>
        <v>18</v>
      </c>
      <c r="E30" s="3">
        <f ca="1">IF(OR(D30=D29,D30=D29+1),Master_Data[[#This Row],[Column1]],D30-1)</f>
        <v>18</v>
      </c>
      <c r="F30" s="15">
        <f>SUM($G$9:G30)</f>
        <v>5.1249999999999991</v>
      </c>
      <c r="G30" s="26">
        <f>IF(Master_Data[[#This Row],[Lectures]]="D","",Master_Data[[#This Row],[Duration (hh:mm)]])</f>
        <v>0.20625000000000002</v>
      </c>
      <c r="H30" s="2" t="s">
        <v>230</v>
      </c>
      <c r="I30" s="2">
        <v>82</v>
      </c>
      <c r="J30" s="2" t="s">
        <v>135</v>
      </c>
      <c r="K30" s="44" t="s">
        <v>223</v>
      </c>
      <c r="L30" s="273">
        <v>1</v>
      </c>
      <c r="M30" s="16">
        <v>4</v>
      </c>
      <c r="N30" s="43">
        <v>5</v>
      </c>
      <c r="O30" s="43">
        <v>2</v>
      </c>
      <c r="P30" s="43">
        <v>4</v>
      </c>
      <c r="Q30" s="43">
        <v>4</v>
      </c>
      <c r="R30" s="43">
        <v>5</v>
      </c>
      <c r="S30" s="43">
        <v>5</v>
      </c>
      <c r="T30" s="11">
        <v>0.20625000000000002</v>
      </c>
      <c r="U30" s="42">
        <f>(SUM($T$9:T30)/$T$4)*100</f>
        <v>36.446244258975767</v>
      </c>
      <c r="V30" s="27" t="s">
        <v>6</v>
      </c>
      <c r="W30" s="27" t="s">
        <v>6</v>
      </c>
      <c r="X30" s="27" t="s">
        <v>6</v>
      </c>
      <c r="Y30" s="27" t="s">
        <v>6</v>
      </c>
      <c r="Z30" s="27" t="s">
        <v>6</v>
      </c>
      <c r="AA30" s="27" t="s">
        <v>6</v>
      </c>
      <c r="AB30" s="27" t="s">
        <v>6</v>
      </c>
      <c r="AC30" s="27" t="s">
        <v>6</v>
      </c>
      <c r="AD30" s="27" t="s">
        <v>6</v>
      </c>
      <c r="AE30" s="159">
        <v>2</v>
      </c>
      <c r="AF30" s="17"/>
      <c r="AG30" s="174">
        <f>R30/SUM($R$9:$R$72)</f>
        <v>2.0242914979757085E-2</v>
      </c>
      <c r="AH30" s="175">
        <f>Master_Data[[#This Row],[Imp. Level]]/SUMIF(Master_Data[Subject],Master_Data[[#This Row],[Subject]],Master_Data[Imp. Level])</f>
        <v>0.16666666666666666</v>
      </c>
      <c r="AI30" s="157">
        <f>Master_Data[[#This Row],[Subjectwise weights]]*Master_Data[[#This Row],[Confidence Level]]</f>
        <v>0.33333333333333331</v>
      </c>
      <c r="AJ30" s="158" t="str">
        <f>IF(AND(Master_Data[[#This Row],[Inst. EOC Ques.]]="D",Master_Data[[#This Row],[Class Test Book]]="D"),"D","U")</f>
        <v>U</v>
      </c>
      <c r="AK30" s="155" t="str">
        <f>IF(AND(Master_Data[[#This Row],[Inst. Online Portal]]="D",Master_Data[[#This Row],[Prac. Book]]="D",Master_Data[[#This Row],[Schweser Prac. Bk 1]]="D",Master_Data[[#This Row],[Schweser Prac. Bk 2]]="D"),"D","U")</f>
        <v>U</v>
      </c>
      <c r="AL30" s="270" t="str">
        <f>IF(AND(Master_Data[[#This Row],[Lectures]]="D",Master_Data[[#This Row],[Self Study]]="D"),Master_Data[[#This Row],[No. of Chapters]],"U")</f>
        <v>U</v>
      </c>
    </row>
    <row r="31" spans="2:72" ht="27" customHeight="1">
      <c r="B31" s="3">
        <v>23</v>
      </c>
      <c r="C31" s="183" t="str">
        <f ca="1">IF(Master_Data[[#This Row],[Column1]]="Done","",IF(Master_Data[[#This Row],[Column1]]=MIN(Master_Data[Column1]),"Current Week",CONCATENATE("Week ",Master_Data[[#This Row],[Column1]])))</f>
        <v>Week 19</v>
      </c>
      <c r="D31" s="3">
        <f ca="1">IF(Master_Data[[#This Row],[Cum. Undone hrs]]=0,"Done",ROUNDUP(Master_Data[[#This Row],[Cum. Undone hrs]]/Working!$C$8,0))</f>
        <v>19</v>
      </c>
      <c r="E31" s="3">
        <f ca="1">IF(OR(D31=D30,D31=D30+1),Master_Data[[#This Row],[Column1]],D31-1)</f>
        <v>19</v>
      </c>
      <c r="F31" s="26">
        <f>SUM($G$9:G31)</f>
        <v>5.3909722222222216</v>
      </c>
      <c r="G31" s="3">
        <f>IF(Master_Data[[#This Row],[Lectures]]="D","",Master_Data[[#This Row],[Duration (hh:mm)]])</f>
        <v>0.26597222222222222</v>
      </c>
      <c r="H31" s="2" t="s">
        <v>224</v>
      </c>
      <c r="I31" s="2" t="s">
        <v>286</v>
      </c>
      <c r="J31" s="2" t="s">
        <v>135</v>
      </c>
      <c r="K31" s="44" t="s">
        <v>261</v>
      </c>
      <c r="L31" s="273">
        <v>2</v>
      </c>
      <c r="M31" s="16">
        <v>6</v>
      </c>
      <c r="N31" s="43">
        <v>5</v>
      </c>
      <c r="O31" s="43">
        <v>3</v>
      </c>
      <c r="P31" s="43">
        <v>4</v>
      </c>
      <c r="Q31" s="43">
        <v>5</v>
      </c>
      <c r="R31" s="43">
        <v>5</v>
      </c>
      <c r="S31" s="43">
        <v>4</v>
      </c>
      <c r="T31" s="11">
        <v>0.26597222222222222</v>
      </c>
      <c r="U31" s="42">
        <f>(SUM($T$9:T31)/$T$4)*100</f>
        <v>38.337695688676007</v>
      </c>
      <c r="V31" s="27" t="s">
        <v>6</v>
      </c>
      <c r="W31" s="27" t="s">
        <v>6</v>
      </c>
      <c r="X31" s="27" t="s">
        <v>6</v>
      </c>
      <c r="Y31" s="27" t="s">
        <v>6</v>
      </c>
      <c r="Z31" s="27" t="s">
        <v>6</v>
      </c>
      <c r="AA31" s="27" t="s">
        <v>6</v>
      </c>
      <c r="AB31" s="27" t="s">
        <v>6</v>
      </c>
      <c r="AC31" s="27" t="s">
        <v>6</v>
      </c>
      <c r="AD31" s="27" t="s">
        <v>6</v>
      </c>
      <c r="AE31" s="159">
        <v>2</v>
      </c>
      <c r="AF31" s="17"/>
      <c r="AG31" s="174">
        <f>R31/SUM($R$9:$R$84)</f>
        <v>1.7006802721088437E-2</v>
      </c>
      <c r="AH31" s="176">
        <f>Master_Data[[#This Row],[Imp. Level]]/SUMIF(Master_Data[Subject],Master_Data[[#This Row],[Subject]],Master_Data[Imp. Level])</f>
        <v>0.125</v>
      </c>
      <c r="AI31" s="177">
        <f>Master_Data[[#This Row],[Subjectwise weights]]*Master_Data[[#This Row],[Confidence Level]]</f>
        <v>0.25</v>
      </c>
      <c r="AJ31" s="155" t="str">
        <f>IF(AND(Master_Data[[#This Row],[Inst. EOC Ques.]]="D",Master_Data[[#This Row],[Class Test Book]]="D"),"D","U")</f>
        <v>U</v>
      </c>
      <c r="AK31" s="155" t="str">
        <f>IF(AND(Master_Data[[#This Row],[Inst. Online Portal]]="D",Master_Data[[#This Row],[Prac. Book]]="D",Master_Data[[#This Row],[Schweser Prac. Bk 1]]="D",Master_Data[[#This Row],[Schweser Prac. Bk 2]]="D"),"D","U")</f>
        <v>U</v>
      </c>
      <c r="AL31" s="270" t="str">
        <f>IF(AND(Master_Data[[#This Row],[Lectures]]="D",Master_Data[[#This Row],[Self Study]]="D"),Master_Data[[#This Row],[No. of Chapters]],"U")</f>
        <v>U</v>
      </c>
    </row>
    <row r="32" spans="2:72" ht="27" customHeight="1">
      <c r="B32" s="3">
        <v>24</v>
      </c>
      <c r="C32" s="183" t="str">
        <f ca="1">IF(Master_Data[[#This Row],[Column1]]="Done","",IF(Master_Data[[#This Row],[Column1]]=MIN(Master_Data[Column1]),"Current Week",CONCATENATE("Week ",Master_Data[[#This Row],[Column1]])))</f>
        <v>Week 19</v>
      </c>
      <c r="D32" s="3">
        <f ca="1">IF(Master_Data[[#This Row],[Cum. Undone hrs]]=0,"Done",ROUNDUP(Master_Data[[#This Row],[Cum. Undone hrs]]/Working!$C$8,0))</f>
        <v>19</v>
      </c>
      <c r="E32" s="3">
        <f ca="1">IF(OR(D32=D31,D32=D31+1),Master_Data[[#This Row],[Column1]],D32-1)</f>
        <v>19</v>
      </c>
      <c r="F32" s="15">
        <f>SUM($G$9:G32)</f>
        <v>5.5166666666666657</v>
      </c>
      <c r="G32" s="26">
        <f>IF(Master_Data[[#This Row],[Lectures]]="D","",Master_Data[[#This Row],[Duration (hh:mm)]])</f>
        <v>0.12569444444444444</v>
      </c>
      <c r="H32" s="2" t="s">
        <v>224</v>
      </c>
      <c r="I32" s="2" t="s">
        <v>285</v>
      </c>
      <c r="J32" s="2" t="s">
        <v>135</v>
      </c>
      <c r="K32" s="44" t="s">
        <v>260</v>
      </c>
      <c r="L32" s="273">
        <v>2</v>
      </c>
      <c r="M32" s="16">
        <v>10</v>
      </c>
      <c r="N32" s="43">
        <v>4</v>
      </c>
      <c r="O32" s="43">
        <v>3</v>
      </c>
      <c r="P32" s="43">
        <v>3</v>
      </c>
      <c r="Q32" s="43">
        <v>4</v>
      </c>
      <c r="R32" s="43">
        <v>4</v>
      </c>
      <c r="S32" s="43">
        <v>4</v>
      </c>
      <c r="T32" s="12">
        <v>0.12569444444444444</v>
      </c>
      <c r="U32" s="42">
        <f>(SUM($T$9:T32)/$T$4)*100</f>
        <v>39.231566990962534</v>
      </c>
      <c r="V32" s="27" t="s">
        <v>6</v>
      </c>
      <c r="W32" s="27" t="s">
        <v>6</v>
      </c>
      <c r="X32" s="27" t="s">
        <v>6</v>
      </c>
      <c r="Y32" s="27" t="s">
        <v>6</v>
      </c>
      <c r="Z32" s="27" t="s">
        <v>6</v>
      </c>
      <c r="AA32" s="27" t="s">
        <v>6</v>
      </c>
      <c r="AB32" s="27" t="s">
        <v>6</v>
      </c>
      <c r="AC32" s="27" t="s">
        <v>6</v>
      </c>
      <c r="AD32" s="27" t="s">
        <v>6</v>
      </c>
      <c r="AE32" s="159">
        <v>2</v>
      </c>
      <c r="AF32" s="17"/>
      <c r="AG32" s="174">
        <f>R32/SUM($R$9:$R$72)</f>
        <v>1.6194331983805668E-2</v>
      </c>
      <c r="AH32" s="175">
        <f>Master_Data[[#This Row],[Imp. Level]]/SUMIF(Master_Data[Subject],Master_Data[[#This Row],[Subject]],Master_Data[Imp. Level])</f>
        <v>0.1</v>
      </c>
      <c r="AI32" s="157">
        <f>Master_Data[[#This Row],[Subjectwise weights]]*Master_Data[[#This Row],[Confidence Level]]</f>
        <v>0.2</v>
      </c>
      <c r="AJ32" s="158" t="str">
        <f>IF(AND(Master_Data[[#This Row],[Inst. EOC Ques.]]="D",Master_Data[[#This Row],[Class Test Book]]="D"),"D","U")</f>
        <v>U</v>
      </c>
      <c r="AK32" s="155" t="str">
        <f>IF(AND(Master_Data[[#This Row],[Inst. Online Portal]]="D",Master_Data[[#This Row],[Prac. Book]]="D",Master_Data[[#This Row],[Schweser Prac. Bk 1]]="D",Master_Data[[#This Row],[Schweser Prac. Bk 2]]="D"),"D","U")</f>
        <v>U</v>
      </c>
      <c r="AL32" s="270" t="str">
        <f>IF(AND(Master_Data[[#This Row],[Lectures]]="D",Master_Data[[#This Row],[Self Study]]="D"),Master_Data[[#This Row],[No. of Chapters]],"U")</f>
        <v>U</v>
      </c>
    </row>
    <row r="33" spans="2:38" ht="27" customHeight="1">
      <c r="B33" s="3">
        <v>25</v>
      </c>
      <c r="C33" s="183" t="str">
        <f ca="1">IF(Master_Data[[#This Row],[Column1]]="Done","",IF(Master_Data[[#This Row],[Column1]]=MIN(Master_Data[Column1]),"Current Week",CONCATENATE("Week ",Master_Data[[#This Row],[Column1]])))</f>
        <v>Week 20</v>
      </c>
      <c r="D33" s="3">
        <f ca="1">IF(Master_Data[[#This Row],[Cum. Undone hrs]]=0,"Done",ROUNDUP(Master_Data[[#This Row],[Cum. Undone hrs]]/Working!$C$8,0))</f>
        <v>20</v>
      </c>
      <c r="E33" s="3">
        <f ca="1">IF(OR(D33=D32,D33=D32+1),Master_Data[[#This Row],[Column1]],D33-1)</f>
        <v>20</v>
      </c>
      <c r="F33" s="150">
        <f>SUM($G$9:G33)</f>
        <v>5.6291666666666655</v>
      </c>
      <c r="G33" s="26">
        <f>IF(Master_Data[[#This Row],[Lectures]]="D","",Master_Data[[#This Row],[Duration (hh:mm)]])</f>
        <v>0.1125</v>
      </c>
      <c r="H33" s="2" t="s">
        <v>224</v>
      </c>
      <c r="I33" s="2">
        <v>36</v>
      </c>
      <c r="J33" s="2" t="s">
        <v>135</v>
      </c>
      <c r="K33" s="44" t="s">
        <v>20</v>
      </c>
      <c r="L33" s="273">
        <v>1</v>
      </c>
      <c r="M33" s="16">
        <v>8</v>
      </c>
      <c r="N33" s="43">
        <v>1</v>
      </c>
      <c r="O33" s="43">
        <v>1</v>
      </c>
      <c r="P33" s="43">
        <v>3</v>
      </c>
      <c r="Q33" s="43">
        <v>2</v>
      </c>
      <c r="R33" s="43">
        <v>3</v>
      </c>
      <c r="S33" s="43">
        <v>3</v>
      </c>
      <c r="T33" s="13">
        <v>0.1125</v>
      </c>
      <c r="U33" s="42">
        <f>(SUM($T$9:T33)/$T$4)*100</f>
        <v>40.031606499086394</v>
      </c>
      <c r="V33" s="27" t="s">
        <v>6</v>
      </c>
      <c r="W33" s="27" t="s">
        <v>6</v>
      </c>
      <c r="X33" s="27" t="s">
        <v>6</v>
      </c>
      <c r="Y33" s="27" t="s">
        <v>6</v>
      </c>
      <c r="Z33" s="27" t="s">
        <v>6</v>
      </c>
      <c r="AA33" s="27" t="s">
        <v>6</v>
      </c>
      <c r="AB33" s="27" t="s">
        <v>6</v>
      </c>
      <c r="AC33" s="27" t="s">
        <v>6</v>
      </c>
      <c r="AD33" s="27" t="s">
        <v>6</v>
      </c>
      <c r="AE33" s="159">
        <v>2</v>
      </c>
      <c r="AF33" s="17"/>
      <c r="AG33" s="174">
        <f>R33/SUM($R$9:$R$84)</f>
        <v>1.020408163265306E-2</v>
      </c>
      <c r="AH33" s="175">
        <f>Master_Data[[#This Row],[Imp. Level]]/SUMIF(Master_Data[Subject],Master_Data[[#This Row],[Subject]],Master_Data[Imp. Level])</f>
        <v>7.4999999999999997E-2</v>
      </c>
      <c r="AI33" s="157">
        <f>Master_Data[[#This Row],[Subjectwise weights]]*Master_Data[[#This Row],[Confidence Level]]</f>
        <v>0.15</v>
      </c>
      <c r="AJ33" s="158" t="str">
        <f>IF(AND(Master_Data[[#This Row],[Inst. EOC Ques.]]="D",Master_Data[[#This Row],[Class Test Book]]="D"),"D","U")</f>
        <v>U</v>
      </c>
      <c r="AK33" s="155" t="str">
        <f>IF(AND(Master_Data[[#This Row],[Inst. Online Portal]]="D",Master_Data[[#This Row],[Prac. Book]]="D",Master_Data[[#This Row],[Schweser Prac. Bk 1]]="D",Master_Data[[#This Row],[Schweser Prac. Bk 2]]="D"),"D","U")</f>
        <v>U</v>
      </c>
      <c r="AL33" s="270" t="str">
        <f>IF(AND(Master_Data[[#This Row],[Lectures]]="D",Master_Data[[#This Row],[Self Study]]="D"),Master_Data[[#This Row],[No. of Chapters]],"U")</f>
        <v>U</v>
      </c>
    </row>
    <row r="34" spans="2:38" ht="27" customHeight="1">
      <c r="B34" s="3">
        <v>26</v>
      </c>
      <c r="C34" s="183" t="str">
        <f ca="1">IF(Master_Data[[#This Row],[Column1]]="Done","",IF(Master_Data[[#This Row],[Column1]]=MIN(Master_Data[Column1]),"Current Week",CONCATENATE("Week ",Master_Data[[#This Row],[Column1]])))</f>
        <v>Week 20</v>
      </c>
      <c r="D34" s="3">
        <f ca="1">IF(Master_Data[[#This Row],[Cum. Undone hrs]]=0,"Done",ROUNDUP(Master_Data[[#This Row],[Cum. Undone hrs]]/Working!$C$8,0))</f>
        <v>20</v>
      </c>
      <c r="E34" s="3" t="e">
        <f ca="1">IF(OR(D34=#REF!,D34=#REF!+1),Master_Data[[#This Row],[Column1]],D34-1)</f>
        <v>#REF!</v>
      </c>
      <c r="F34" s="15">
        <f>SUM($G$9:G34)</f>
        <v>5.7604166666666652</v>
      </c>
      <c r="G34" s="26">
        <f>IF(Master_Data[[#This Row],[Lectures]]="D","",Master_Data[[#This Row],[Duration (hh:mm)]])</f>
        <v>0.13125000000000001</v>
      </c>
      <c r="H34" s="2" t="s">
        <v>224</v>
      </c>
      <c r="I34" s="2">
        <v>38</v>
      </c>
      <c r="J34" s="2" t="s">
        <v>135</v>
      </c>
      <c r="K34" s="44" t="s">
        <v>209</v>
      </c>
      <c r="L34" s="273">
        <v>1</v>
      </c>
      <c r="M34" s="16">
        <v>5</v>
      </c>
      <c r="N34" s="43">
        <v>3</v>
      </c>
      <c r="O34" s="43">
        <v>2</v>
      </c>
      <c r="P34" s="43">
        <v>3</v>
      </c>
      <c r="Q34" s="43">
        <v>3</v>
      </c>
      <c r="R34" s="43">
        <v>4</v>
      </c>
      <c r="S34" s="43">
        <v>4</v>
      </c>
      <c r="T34" s="13">
        <v>0.13125000000000001</v>
      </c>
      <c r="U34" s="42">
        <f>(SUM($T$9:T34)/$T$4)*100</f>
        <v>40.964985925230891</v>
      </c>
      <c r="V34" s="27" t="s">
        <v>6</v>
      </c>
      <c r="W34" s="27" t="s">
        <v>6</v>
      </c>
      <c r="X34" s="27" t="s">
        <v>6</v>
      </c>
      <c r="Y34" s="27" t="s">
        <v>6</v>
      </c>
      <c r="Z34" s="27" t="s">
        <v>6</v>
      </c>
      <c r="AA34" s="27" t="s">
        <v>6</v>
      </c>
      <c r="AB34" s="27" t="s">
        <v>6</v>
      </c>
      <c r="AC34" s="27" t="s">
        <v>6</v>
      </c>
      <c r="AD34" s="27" t="s">
        <v>6</v>
      </c>
      <c r="AE34" s="159">
        <v>2</v>
      </c>
      <c r="AF34" s="17"/>
      <c r="AG34" s="174">
        <f>R34/SUM($R$9:$R$72)</f>
        <v>1.6194331983805668E-2</v>
      </c>
      <c r="AH34" s="175">
        <f>Master_Data[[#This Row],[Imp. Level]]/SUMIF(Master_Data[Subject],Master_Data[[#This Row],[Subject]],Master_Data[Imp. Level])</f>
        <v>0.1</v>
      </c>
      <c r="AI34" s="157">
        <f>Master_Data[[#This Row],[Subjectwise weights]]*Master_Data[[#This Row],[Confidence Level]]</f>
        <v>0.2</v>
      </c>
      <c r="AJ34" s="158" t="str">
        <f>IF(AND(Master_Data[[#This Row],[Inst. EOC Ques.]]="D",Master_Data[[#This Row],[Class Test Book]]="D"),"D","U")</f>
        <v>U</v>
      </c>
      <c r="AK34" s="155" t="str">
        <f>IF(AND(Master_Data[[#This Row],[Inst. Online Portal]]="D",Master_Data[[#This Row],[Prac. Book]]="D",Master_Data[[#This Row],[Schweser Prac. Bk 1]]="D",Master_Data[[#This Row],[Schweser Prac. Bk 2]]="D"),"D","U")</f>
        <v>U</v>
      </c>
      <c r="AL34" s="270" t="str">
        <f>IF(AND(Master_Data[[#This Row],[Lectures]]="D",Master_Data[[#This Row],[Self Study]]="D"),Master_Data[[#This Row],[No. of Chapters]],"U")</f>
        <v>U</v>
      </c>
    </row>
    <row r="35" spans="2:38" ht="27" customHeight="1">
      <c r="B35" s="3">
        <v>27</v>
      </c>
      <c r="C35" s="183" t="str">
        <f ca="1">IF(Master_Data[[#This Row],[Column1]]="Done","",IF(Master_Data[[#This Row],[Column1]]=MIN(Master_Data[Column1]),"Current Week",CONCATENATE("Week ",Master_Data[[#This Row],[Column1]])))</f>
        <v>Week 20</v>
      </c>
      <c r="D35" s="3">
        <f ca="1">IF(Master_Data[[#This Row],[Cum. Undone hrs]]=0,"Done",ROUNDUP(Master_Data[[#This Row],[Cum. Undone hrs]]/Working!$C$8,0))</f>
        <v>20</v>
      </c>
      <c r="E35" s="3">
        <f ca="1">IF(OR(D35=D34,D35=D34+1),Master_Data[[#This Row],[Column1]],D35-1)</f>
        <v>20</v>
      </c>
      <c r="F35" s="15">
        <f>SUM($G$9:G35)</f>
        <v>5.8743055555555541</v>
      </c>
      <c r="G35" s="26">
        <f>IF(Master_Data[[#This Row],[Lectures]]="D","",Master_Data[[#This Row],[Duration (hh:mm)]])</f>
        <v>0.11388888888888889</v>
      </c>
      <c r="H35" s="2" t="s">
        <v>133</v>
      </c>
      <c r="I35" s="2">
        <v>20</v>
      </c>
      <c r="J35" s="2" t="s">
        <v>135</v>
      </c>
      <c r="K35" s="44" t="s">
        <v>204</v>
      </c>
      <c r="L35" s="273">
        <v>1</v>
      </c>
      <c r="M35" s="16">
        <v>3</v>
      </c>
      <c r="N35" s="43">
        <v>1</v>
      </c>
      <c r="O35" s="43">
        <v>1</v>
      </c>
      <c r="P35" s="43">
        <v>1</v>
      </c>
      <c r="Q35" s="43">
        <v>1</v>
      </c>
      <c r="R35" s="43">
        <v>2</v>
      </c>
      <c r="S35" s="43">
        <v>3</v>
      </c>
      <c r="T35" s="11">
        <v>0.11388888888888889</v>
      </c>
      <c r="U35" s="42">
        <f>(SUM($T$9:T35)/$T$4)*100</f>
        <v>41.77490246431924</v>
      </c>
      <c r="V35" s="27" t="s">
        <v>6</v>
      </c>
      <c r="W35" s="27" t="s">
        <v>6</v>
      </c>
      <c r="X35" s="27" t="s">
        <v>6</v>
      </c>
      <c r="Y35" s="27" t="s">
        <v>6</v>
      </c>
      <c r="Z35" s="27" t="s">
        <v>6</v>
      </c>
      <c r="AA35" s="27" t="s">
        <v>6</v>
      </c>
      <c r="AB35" s="27" t="s">
        <v>6</v>
      </c>
      <c r="AC35" s="27" t="s">
        <v>6</v>
      </c>
      <c r="AD35" s="27" t="s">
        <v>6</v>
      </c>
      <c r="AE35" s="159">
        <v>2</v>
      </c>
      <c r="AF35" s="17"/>
      <c r="AG35" s="174">
        <f>R35/SUM($R$9:$R$84)</f>
        <v>6.8027210884353739E-3</v>
      </c>
      <c r="AH35" s="175">
        <f>Master_Data[[#This Row],[Imp. Level]]/SUMIF(Master_Data[Subject],Master_Data[[#This Row],[Subject]],Master_Data[Imp. Level])</f>
        <v>9.0909090909090912E-2</v>
      </c>
      <c r="AI35" s="157">
        <f>Master_Data[[#This Row],[Subjectwise weights]]*Master_Data[[#This Row],[Confidence Level]]</f>
        <v>0.18181818181818182</v>
      </c>
      <c r="AJ35" s="158" t="str">
        <f>IF(AND(Master_Data[[#This Row],[Inst. EOC Ques.]]="D",Master_Data[[#This Row],[Class Test Book]]="D"),"D","U")</f>
        <v>U</v>
      </c>
      <c r="AK35" s="155" t="str">
        <f>IF(AND(Master_Data[[#This Row],[Inst. Online Portal]]="D",Master_Data[[#This Row],[Prac. Book]]="D",Master_Data[[#This Row],[Schweser Prac. Bk 1]]="D",Master_Data[[#This Row],[Schweser Prac. Bk 2]]="D"),"D","U")</f>
        <v>U</v>
      </c>
      <c r="AL35" s="270" t="str">
        <f>IF(AND(Master_Data[[#This Row],[Lectures]]="D",Master_Data[[#This Row],[Self Study]]="D"),Master_Data[[#This Row],[No. of Chapters]],"U")</f>
        <v>U</v>
      </c>
    </row>
    <row r="36" spans="2:38" ht="27" customHeight="1">
      <c r="B36" s="3">
        <v>28</v>
      </c>
      <c r="C36" s="183" t="str">
        <f ca="1">IF(Master_Data[[#This Row],[Column1]]="Done","",IF(Master_Data[[#This Row],[Column1]]=MIN(Master_Data[Column1]),"Current Week",CONCATENATE("Week ",Master_Data[[#This Row],[Column1]])))</f>
        <v>Week 21</v>
      </c>
      <c r="D36" s="3">
        <f ca="1">IF(Master_Data[[#This Row],[Cum. Undone hrs]]=0,"Done",ROUNDUP(Master_Data[[#This Row],[Cum. Undone hrs]]/Working!$C$8,0))</f>
        <v>21</v>
      </c>
      <c r="E36" s="3">
        <f ca="1">IF(OR(D36=D35,D36=D35+1),Master_Data[[#This Row],[Column1]],D36-1)</f>
        <v>21</v>
      </c>
      <c r="F36" s="15">
        <f>SUM($G$9:G36)</f>
        <v>6.0881944444444427</v>
      </c>
      <c r="G36" s="26">
        <f>IF(Master_Data[[#This Row],[Lectures]]="D","",Master_Data[[#This Row],[Duration (hh:mm)]])</f>
        <v>0.21388888888888891</v>
      </c>
      <c r="H36" s="2" t="s">
        <v>133</v>
      </c>
      <c r="I36" s="2">
        <v>25</v>
      </c>
      <c r="J36" s="2" t="s">
        <v>135</v>
      </c>
      <c r="K36" s="44" t="s">
        <v>130</v>
      </c>
      <c r="L36" s="273">
        <v>1</v>
      </c>
      <c r="M36" s="16">
        <v>4</v>
      </c>
      <c r="N36" s="43">
        <v>3</v>
      </c>
      <c r="O36" s="43">
        <v>2</v>
      </c>
      <c r="P36" s="43">
        <v>3</v>
      </c>
      <c r="Q36" s="43">
        <v>4</v>
      </c>
      <c r="R36" s="43">
        <v>3</v>
      </c>
      <c r="S36" s="43">
        <v>4</v>
      </c>
      <c r="T36" s="13">
        <v>0.21388888888888891</v>
      </c>
      <c r="U36" s="42">
        <f>(SUM($T$9:T36)/$T$4)*100</f>
        <v>43.295965232851017</v>
      </c>
      <c r="V36" s="27" t="s">
        <v>6</v>
      </c>
      <c r="W36" s="27" t="s">
        <v>6</v>
      </c>
      <c r="X36" s="27" t="s">
        <v>6</v>
      </c>
      <c r="Y36" s="27" t="s">
        <v>6</v>
      </c>
      <c r="Z36" s="27" t="s">
        <v>6</v>
      </c>
      <c r="AA36" s="27" t="s">
        <v>6</v>
      </c>
      <c r="AB36" s="27" t="s">
        <v>6</v>
      </c>
      <c r="AC36" s="27" t="s">
        <v>6</v>
      </c>
      <c r="AD36" s="27" t="s">
        <v>6</v>
      </c>
      <c r="AE36" s="159">
        <v>2</v>
      </c>
      <c r="AF36" s="17"/>
      <c r="AG36" s="174">
        <f>R36/SUM($R$9:$R$72)</f>
        <v>1.2145748987854251E-2</v>
      </c>
      <c r="AH36" s="175">
        <f>Master_Data[[#This Row],[Imp. Level]]/SUMIF(Master_Data[Subject],Master_Data[[#This Row],[Subject]],Master_Data[Imp. Level])</f>
        <v>0.13636363636363635</v>
      </c>
      <c r="AI36" s="157">
        <f>Master_Data[[#This Row],[Subjectwise weights]]*Master_Data[[#This Row],[Confidence Level]]</f>
        <v>0.27272727272727271</v>
      </c>
      <c r="AJ36" s="158" t="str">
        <f>IF(AND(Master_Data[[#This Row],[Inst. EOC Ques.]]="D",Master_Data[[#This Row],[Class Test Book]]="D"),"D","U")</f>
        <v>U</v>
      </c>
      <c r="AK36" s="155" t="str">
        <f>IF(AND(Master_Data[[#This Row],[Inst. Online Portal]]="D",Master_Data[[#This Row],[Prac. Book]]="D",Master_Data[[#This Row],[Schweser Prac. Bk 1]]="D",Master_Data[[#This Row],[Schweser Prac. Bk 2]]="D"),"D","U")</f>
        <v>U</v>
      </c>
      <c r="AL36" s="270" t="str">
        <f>IF(AND(Master_Data[[#This Row],[Lectures]]="D",Master_Data[[#This Row],[Self Study]]="D"),Master_Data[[#This Row],[No. of Chapters]],"U")</f>
        <v>U</v>
      </c>
    </row>
    <row r="37" spans="2:38" ht="27" customHeight="1">
      <c r="B37" s="3">
        <v>29</v>
      </c>
      <c r="C37" s="183" t="str">
        <f ca="1">IF(Master_Data[[#This Row],[Column1]]="Done","",IF(Master_Data[[#This Row],[Column1]]=MIN(Master_Data[Column1]),"Current Week",CONCATENATE("Week ",Master_Data[[#This Row],[Column1]])))</f>
        <v>Week 22</v>
      </c>
      <c r="D37" s="3">
        <f ca="1">IF(Master_Data[[#This Row],[Cum. Undone hrs]]=0,"Done",ROUNDUP(Master_Data[[#This Row],[Cum. Undone hrs]]/Working!$C$8,0))</f>
        <v>22</v>
      </c>
      <c r="E37" s="3">
        <f ca="1">IF(OR(D37=D36,D37=D36+1),Master_Data[[#This Row],[Column1]],D37-1)</f>
        <v>22</v>
      </c>
      <c r="F37" s="15">
        <f>SUM($G$9:G37)</f>
        <v>6.226388888888887</v>
      </c>
      <c r="G37" s="26">
        <f>IF(Master_Data[[#This Row],[Lectures]]="D","",Master_Data[[#This Row],[Duration (hh:mm)]])</f>
        <v>0.13819444444444443</v>
      </c>
      <c r="H37" s="2" t="s">
        <v>133</v>
      </c>
      <c r="I37" s="2">
        <v>23</v>
      </c>
      <c r="J37" s="2" t="s">
        <v>135</v>
      </c>
      <c r="K37" s="44" t="s">
        <v>194</v>
      </c>
      <c r="L37" s="273">
        <v>1</v>
      </c>
      <c r="M37" s="16">
        <v>3</v>
      </c>
      <c r="N37" s="43">
        <v>4</v>
      </c>
      <c r="O37" s="43">
        <v>4</v>
      </c>
      <c r="P37" s="43">
        <v>3</v>
      </c>
      <c r="Q37" s="43">
        <v>2</v>
      </c>
      <c r="R37" s="43">
        <v>4</v>
      </c>
      <c r="S37" s="43">
        <v>3</v>
      </c>
      <c r="T37" s="13">
        <v>0.13819444444444443</v>
      </c>
      <c r="U37" s="42">
        <f>(SUM($T$9:T37)/$T$4)*100</f>
        <v>44.278729813817982</v>
      </c>
      <c r="V37" s="27" t="s">
        <v>6</v>
      </c>
      <c r="W37" s="27" t="s">
        <v>6</v>
      </c>
      <c r="X37" s="27" t="s">
        <v>6</v>
      </c>
      <c r="Y37" s="27" t="s">
        <v>6</v>
      </c>
      <c r="Z37" s="27" t="s">
        <v>6</v>
      </c>
      <c r="AA37" s="27" t="s">
        <v>6</v>
      </c>
      <c r="AB37" s="27" t="s">
        <v>6</v>
      </c>
      <c r="AC37" s="27" t="s">
        <v>6</v>
      </c>
      <c r="AD37" s="27" t="s">
        <v>6</v>
      </c>
      <c r="AE37" s="159">
        <v>2</v>
      </c>
      <c r="AF37" s="17"/>
      <c r="AG37" s="174">
        <f>R37/SUM($R$9:$R$72)</f>
        <v>1.6194331983805668E-2</v>
      </c>
      <c r="AH37" s="175">
        <f>Master_Data[[#This Row],[Imp. Level]]/SUMIF(Master_Data[Subject],Master_Data[[#This Row],[Subject]],Master_Data[Imp. Level])</f>
        <v>0.18181818181818182</v>
      </c>
      <c r="AI37" s="157">
        <f>Master_Data[[#This Row],[Subjectwise weights]]*Master_Data[[#This Row],[Confidence Level]]</f>
        <v>0.36363636363636365</v>
      </c>
      <c r="AJ37" s="158" t="str">
        <f>IF(AND(Master_Data[[#This Row],[Inst. EOC Ques.]]="D",Master_Data[[#This Row],[Class Test Book]]="D"),"D","U")</f>
        <v>U</v>
      </c>
      <c r="AK37" s="155" t="str">
        <f>IF(AND(Master_Data[[#This Row],[Inst. Online Portal]]="D",Master_Data[[#This Row],[Prac. Book]]="D",Master_Data[[#This Row],[Schweser Prac. Bk 1]]="D",Master_Data[[#This Row],[Schweser Prac. Bk 2]]="D"),"D","U")</f>
        <v>U</v>
      </c>
      <c r="AL37" s="270" t="str">
        <f>IF(AND(Master_Data[[#This Row],[Lectures]]="D",Master_Data[[#This Row],[Self Study]]="D"),Master_Data[[#This Row],[No. of Chapters]],"U")</f>
        <v>U</v>
      </c>
    </row>
    <row r="38" spans="2:38" ht="27" customHeight="1">
      <c r="B38" s="3">
        <v>30</v>
      </c>
      <c r="C38" s="183" t="str">
        <f ca="1">IF(Master_Data[[#This Row],[Column1]]="Done","",IF(Master_Data[[#This Row],[Column1]]=MIN(Master_Data[Column1]),"Current Week",CONCATENATE("Week ",Master_Data[[#This Row],[Column1]])))</f>
        <v>Week 22</v>
      </c>
      <c r="D38" s="3">
        <f ca="1">IF(Master_Data[[#This Row],[Cum. Undone hrs]]=0,"Done",ROUNDUP(Master_Data[[#This Row],[Cum. Undone hrs]]/Working!$C$8,0))</f>
        <v>22</v>
      </c>
      <c r="E38" s="3">
        <f ca="1">IF(OR(D38=D37,D38=D37+1),Master_Data[[#This Row],[Column1]],D38-1)</f>
        <v>22</v>
      </c>
      <c r="F38" s="15">
        <f>SUM($G$9:G38)</f>
        <v>6.3951388888888872</v>
      </c>
      <c r="G38" s="26">
        <f>IF(Master_Data[[#This Row],[Lectures]]="D","",Master_Data[[#This Row],[Duration (hh:mm)]])</f>
        <v>0.16874999999999998</v>
      </c>
      <c r="H38" s="2" t="s">
        <v>133</v>
      </c>
      <c r="I38" s="2">
        <v>21</v>
      </c>
      <c r="J38" s="2" t="s">
        <v>135</v>
      </c>
      <c r="K38" s="44" t="s">
        <v>205</v>
      </c>
      <c r="L38" s="273">
        <v>1</v>
      </c>
      <c r="M38" s="16">
        <v>3</v>
      </c>
      <c r="N38" s="43">
        <v>1</v>
      </c>
      <c r="O38" s="43">
        <v>1</v>
      </c>
      <c r="P38" s="43">
        <v>1</v>
      </c>
      <c r="Q38" s="43">
        <v>1</v>
      </c>
      <c r="R38" s="43">
        <v>2</v>
      </c>
      <c r="S38" s="43">
        <v>3</v>
      </c>
      <c r="T38" s="12">
        <v>0.16874999999999998</v>
      </c>
      <c r="U38" s="42">
        <f>(SUM($T$9:T38)/$T$4)*100</f>
        <v>45.478789076003771</v>
      </c>
      <c r="V38" s="27" t="s">
        <v>6</v>
      </c>
      <c r="W38" s="27" t="s">
        <v>6</v>
      </c>
      <c r="X38" s="27" t="s">
        <v>6</v>
      </c>
      <c r="Y38" s="27" t="s">
        <v>6</v>
      </c>
      <c r="Z38" s="27" t="s">
        <v>6</v>
      </c>
      <c r="AA38" s="27" t="s">
        <v>6</v>
      </c>
      <c r="AB38" s="27" t="s">
        <v>6</v>
      </c>
      <c r="AC38" s="27" t="s">
        <v>6</v>
      </c>
      <c r="AD38" s="27" t="s">
        <v>6</v>
      </c>
      <c r="AE38" s="159">
        <v>2</v>
      </c>
      <c r="AF38" s="17"/>
      <c r="AG38" s="174">
        <f>R38/SUM($R$9:$R$84)</f>
        <v>6.8027210884353739E-3</v>
      </c>
      <c r="AH38" s="175">
        <f>Master_Data[[#This Row],[Imp. Level]]/SUMIF(Master_Data[Subject],Master_Data[[#This Row],[Subject]],Master_Data[Imp. Level])</f>
        <v>9.0909090909090912E-2</v>
      </c>
      <c r="AI38" s="157">
        <f>Master_Data[[#This Row],[Subjectwise weights]]*Master_Data[[#This Row],[Confidence Level]]</f>
        <v>0.18181818181818182</v>
      </c>
      <c r="AJ38" s="158" t="str">
        <f>IF(AND(Master_Data[[#This Row],[Inst. EOC Ques.]]="D",Master_Data[[#This Row],[Class Test Book]]="D"),"D","U")</f>
        <v>U</v>
      </c>
      <c r="AK38" s="155" t="str">
        <f>IF(AND(Master_Data[[#This Row],[Inst. Online Portal]]="D",Master_Data[[#This Row],[Prac. Book]]="D",Master_Data[[#This Row],[Schweser Prac. Bk 1]]="D",Master_Data[[#This Row],[Schweser Prac. Bk 2]]="D"),"D","U")</f>
        <v>U</v>
      </c>
      <c r="AL38" s="270" t="str">
        <f>IF(AND(Master_Data[[#This Row],[Lectures]]="D",Master_Data[[#This Row],[Self Study]]="D"),Master_Data[[#This Row],[No. of Chapters]],"U")</f>
        <v>U</v>
      </c>
    </row>
    <row r="39" spans="2:38" ht="27" customHeight="1">
      <c r="B39" s="3">
        <v>31</v>
      </c>
      <c r="C39" s="183" t="str">
        <f ca="1">IF(Master_Data[[#This Row],[Column1]]="Done","",IF(Master_Data[[#This Row],[Column1]]=MIN(Master_Data[Column1]),"Current Week",CONCATENATE("Week ",Master_Data[[#This Row],[Column1]])))</f>
        <v>Week 23</v>
      </c>
      <c r="D39" s="3">
        <f ca="1">IF(Master_Data[[#This Row],[Cum. Undone hrs]]=0,"Done",ROUNDUP(Master_Data[[#This Row],[Cum. Undone hrs]]/Working!$C$8,0))</f>
        <v>23</v>
      </c>
      <c r="E39" s="3">
        <f ca="1">IF(OR(D39=D38,D39=D38+1),Master_Data[[#This Row],[Column1]],D39-1)</f>
        <v>23</v>
      </c>
      <c r="F39" s="15">
        <f>SUM($G$9:G39)</f>
        <v>6.5215277777777763</v>
      </c>
      <c r="G39" s="26">
        <f>IF(Master_Data[[#This Row],[Lectures]]="D","",Master_Data[[#This Row],[Duration (hh:mm)]])</f>
        <v>0.12638888888888888</v>
      </c>
      <c r="H39" s="2" t="s">
        <v>133</v>
      </c>
      <c r="I39" s="2">
        <v>22</v>
      </c>
      <c r="J39" s="2" t="s">
        <v>135</v>
      </c>
      <c r="K39" s="44" t="s">
        <v>247</v>
      </c>
      <c r="L39" s="273">
        <v>1</v>
      </c>
      <c r="M39" s="16">
        <v>3</v>
      </c>
      <c r="N39" s="43">
        <v>2</v>
      </c>
      <c r="O39" s="43">
        <v>1</v>
      </c>
      <c r="P39" s="43">
        <v>1</v>
      </c>
      <c r="Q39" s="43">
        <v>3</v>
      </c>
      <c r="R39" s="43">
        <v>3</v>
      </c>
      <c r="S39" s="43">
        <v>3</v>
      </c>
      <c r="T39" s="12">
        <v>0.12638888888888888</v>
      </c>
      <c r="U39" s="42">
        <f>(SUM($T$9:T39)/$T$4)*100</f>
        <v>46.377598893772557</v>
      </c>
      <c r="V39" s="27" t="s">
        <v>6</v>
      </c>
      <c r="W39" s="27" t="s">
        <v>6</v>
      </c>
      <c r="X39" s="27" t="s">
        <v>6</v>
      </c>
      <c r="Y39" s="27" t="s">
        <v>6</v>
      </c>
      <c r="Z39" s="27" t="s">
        <v>6</v>
      </c>
      <c r="AA39" s="27" t="s">
        <v>6</v>
      </c>
      <c r="AB39" s="27" t="s">
        <v>6</v>
      </c>
      <c r="AC39" s="27" t="s">
        <v>6</v>
      </c>
      <c r="AD39" s="27" t="s">
        <v>6</v>
      </c>
      <c r="AE39" s="159">
        <v>2</v>
      </c>
      <c r="AF39" s="17"/>
      <c r="AG39" s="174">
        <f>R39/SUM($R$9:$R$72)</f>
        <v>1.2145748987854251E-2</v>
      </c>
      <c r="AH39" s="175">
        <f>Master_Data[[#This Row],[Imp. Level]]/SUMIF(Master_Data[Subject],Master_Data[[#This Row],[Subject]],Master_Data[Imp. Level])</f>
        <v>0.13636363636363635</v>
      </c>
      <c r="AI39" s="157">
        <f>Master_Data[[#This Row],[Subjectwise weights]]*Master_Data[[#This Row],[Confidence Level]]</f>
        <v>0.27272727272727271</v>
      </c>
      <c r="AJ39" s="158" t="str">
        <f>IF(AND(Master_Data[[#This Row],[Inst. EOC Ques.]]="D",Master_Data[[#This Row],[Class Test Book]]="D"),"D","U")</f>
        <v>U</v>
      </c>
      <c r="AK39" s="155" t="str">
        <f>IF(AND(Master_Data[[#This Row],[Inst. Online Portal]]="D",Master_Data[[#This Row],[Prac. Book]]="D",Master_Data[[#This Row],[Schweser Prac. Bk 1]]="D",Master_Data[[#This Row],[Schweser Prac. Bk 2]]="D"),"D","U")</f>
        <v>U</v>
      </c>
      <c r="AL39" s="270" t="str">
        <f>IF(AND(Master_Data[[#This Row],[Lectures]]="D",Master_Data[[#This Row],[Self Study]]="D"),Master_Data[[#This Row],[No. of Chapters]],"U")</f>
        <v>U</v>
      </c>
    </row>
    <row r="40" spans="2:38" ht="27" customHeight="1">
      <c r="B40" s="3">
        <v>32</v>
      </c>
      <c r="C40" s="183" t="str">
        <f ca="1">IF(Master_Data[[#This Row],[Column1]]="Done","",IF(Master_Data[[#This Row],[Column1]]=MIN(Master_Data[Column1]),"Current Week",CONCATENATE("Week ",Master_Data[[#This Row],[Column1]])))</f>
        <v>Week 23</v>
      </c>
      <c r="D40" s="3">
        <f ca="1">IF(Master_Data[[#This Row],[Cum. Undone hrs]]=0,"Done",ROUNDUP(Master_Data[[#This Row],[Cum. Undone hrs]]/Working!$C$8,0))</f>
        <v>23</v>
      </c>
      <c r="E40" s="3">
        <f ca="1">IF(OR(D40=D39,D40=D39+1),Master_Data[[#This Row],[Column1]],D40-1)</f>
        <v>23</v>
      </c>
      <c r="F40" s="15">
        <f>SUM($G$9:G40)</f>
        <v>6.5986111111111097</v>
      </c>
      <c r="G40" s="26">
        <f>IF(Master_Data[[#This Row],[Lectures]]="D","",Master_Data[[#This Row],[Duration (hh:mm)]])</f>
        <v>7.7083333333333337E-2</v>
      </c>
      <c r="H40" s="2" t="s">
        <v>133</v>
      </c>
      <c r="I40" s="2">
        <v>26</v>
      </c>
      <c r="J40" s="2" t="s">
        <v>135</v>
      </c>
      <c r="K40" s="44" t="s">
        <v>207</v>
      </c>
      <c r="L40" s="273">
        <v>1</v>
      </c>
      <c r="M40" s="16">
        <v>2</v>
      </c>
      <c r="N40" s="43">
        <v>2</v>
      </c>
      <c r="O40" s="43">
        <v>1</v>
      </c>
      <c r="P40" s="43">
        <v>2</v>
      </c>
      <c r="Q40" s="43">
        <v>3</v>
      </c>
      <c r="R40" s="43">
        <v>3</v>
      </c>
      <c r="S40" s="43">
        <v>3</v>
      </c>
      <c r="T40" s="11">
        <v>7.7083333333333337E-2</v>
      </c>
      <c r="U40" s="42">
        <f>(SUM($T$9:T40)/$T$4)*100</f>
        <v>46.925774112301866</v>
      </c>
      <c r="V40" s="27" t="s">
        <v>6</v>
      </c>
      <c r="W40" s="27" t="s">
        <v>6</v>
      </c>
      <c r="X40" s="27" t="s">
        <v>6</v>
      </c>
      <c r="Y40" s="27" t="s">
        <v>6</v>
      </c>
      <c r="Z40" s="27" t="s">
        <v>6</v>
      </c>
      <c r="AA40" s="27" t="s">
        <v>6</v>
      </c>
      <c r="AB40" s="27" t="s">
        <v>6</v>
      </c>
      <c r="AC40" s="27" t="s">
        <v>6</v>
      </c>
      <c r="AD40" s="27" t="s">
        <v>6</v>
      </c>
      <c r="AE40" s="159">
        <v>2</v>
      </c>
      <c r="AF40" s="17"/>
      <c r="AG40" s="174">
        <f>R40/SUM($R$9:$R$84)</f>
        <v>1.020408163265306E-2</v>
      </c>
      <c r="AH40" s="175">
        <f>Master_Data[[#This Row],[Imp. Level]]/SUMIF(Master_Data[Subject],Master_Data[[#This Row],[Subject]],Master_Data[Imp. Level])</f>
        <v>0.13636363636363635</v>
      </c>
      <c r="AI40" s="157">
        <f>Master_Data[[#This Row],[Subjectwise weights]]*Master_Data[[#This Row],[Confidence Level]]</f>
        <v>0.27272727272727271</v>
      </c>
      <c r="AJ40" s="158" t="str">
        <f>IF(AND(Master_Data[[#This Row],[Inst. EOC Ques.]]="D",Master_Data[[#This Row],[Class Test Book]]="D"),"D","U")</f>
        <v>U</v>
      </c>
      <c r="AK40" s="155" t="str">
        <f>IF(AND(Master_Data[[#This Row],[Inst. Online Portal]]="D",Master_Data[[#This Row],[Prac. Book]]="D",Master_Data[[#This Row],[Schweser Prac. Bk 1]]="D",Master_Data[[#This Row],[Schweser Prac. Bk 2]]="D"),"D","U")</f>
        <v>U</v>
      </c>
      <c r="AL40" s="270" t="str">
        <f>IF(AND(Master_Data[[#This Row],[Lectures]]="D",Master_Data[[#This Row],[Self Study]]="D"),Master_Data[[#This Row],[No. of Chapters]],"U")</f>
        <v>U</v>
      </c>
    </row>
    <row r="41" spans="2:38" ht="27" customHeight="1">
      <c r="B41" s="3">
        <v>33</v>
      </c>
      <c r="C41" s="183" t="str">
        <f ca="1">IF(Master_Data[[#This Row],[Column1]]="Done","",IF(Master_Data[[#This Row],[Column1]]=MIN(Master_Data[Column1]),"Current Week",CONCATENATE("Week ",Master_Data[[#This Row],[Column1]])))</f>
        <v>Week 25</v>
      </c>
      <c r="D41" s="3">
        <f ca="1">IF(Master_Data[[#This Row],[Cum. Undone hrs]]=0,"Done",ROUNDUP(Master_Data[[#This Row],[Cum. Undone hrs]]/Working!$C$8,0))</f>
        <v>25</v>
      </c>
      <c r="E41" s="3">
        <f ca="1">IF(OR(D41=D40,D41=D40+1),Master_Data[[#This Row],[Column1]],D41-1)</f>
        <v>24</v>
      </c>
      <c r="F41" s="15">
        <f>SUM($G$9:G41)</f>
        <v>7.1708333333333316</v>
      </c>
      <c r="G41" s="26">
        <f>IF(Master_Data[[#This Row],[Lectures]]="D","",Master_Data[[#This Row],[Duration (hh:mm)]])</f>
        <v>0.57222222222222219</v>
      </c>
      <c r="H41" s="2" t="s">
        <v>26</v>
      </c>
      <c r="I41" s="2" t="s">
        <v>290</v>
      </c>
      <c r="J41" s="2" t="s">
        <v>135</v>
      </c>
      <c r="K41" s="44" t="s">
        <v>248</v>
      </c>
      <c r="L41" s="273">
        <v>6</v>
      </c>
      <c r="M41" s="16">
        <v>13</v>
      </c>
      <c r="N41" s="43">
        <v>4</v>
      </c>
      <c r="O41" s="43">
        <v>4</v>
      </c>
      <c r="P41" s="43">
        <v>5</v>
      </c>
      <c r="Q41" s="43">
        <v>5</v>
      </c>
      <c r="R41" s="43">
        <v>5</v>
      </c>
      <c r="S41" s="43">
        <v>5</v>
      </c>
      <c r="T41" s="13">
        <v>0.57222222222222219</v>
      </c>
      <c r="U41" s="42">
        <f>(SUM($T$9:T41)/$T$4)*100</f>
        <v>50.995110869672601</v>
      </c>
      <c r="V41" s="27" t="s">
        <v>6</v>
      </c>
      <c r="W41" s="27" t="s">
        <v>6</v>
      </c>
      <c r="X41" s="27" t="s">
        <v>6</v>
      </c>
      <c r="Y41" s="27" t="s">
        <v>6</v>
      </c>
      <c r="Z41" s="27" t="s">
        <v>6</v>
      </c>
      <c r="AA41" s="27" t="s">
        <v>6</v>
      </c>
      <c r="AB41" s="27" t="s">
        <v>6</v>
      </c>
      <c r="AC41" s="27" t="s">
        <v>6</v>
      </c>
      <c r="AD41" s="27" t="s">
        <v>6</v>
      </c>
      <c r="AE41" s="159">
        <v>3</v>
      </c>
      <c r="AF41" s="17"/>
      <c r="AG41" s="174">
        <f>R41/SUM($R$9:$R$72)</f>
        <v>2.0242914979757085E-2</v>
      </c>
      <c r="AH41" s="175">
        <f>Master_Data[[#This Row],[Imp. Level]]/SUMIF(Master_Data[Subject],Master_Data[[#This Row],[Subject]],Master_Data[Imp. Level])</f>
        <v>0.33333333333333331</v>
      </c>
      <c r="AI41" s="157">
        <f>Master_Data[[#This Row],[Subjectwise weights]]*Master_Data[[#This Row],[Confidence Level]]</f>
        <v>1</v>
      </c>
      <c r="AJ41" s="158" t="str">
        <f>IF(AND(Master_Data[[#This Row],[Inst. EOC Ques.]]="D",Master_Data[[#This Row],[Class Test Book]]="D"),"D","U")</f>
        <v>U</v>
      </c>
      <c r="AK41" s="155" t="str">
        <f>IF(AND(Master_Data[[#This Row],[Inst. Online Portal]]="D",Master_Data[[#This Row],[Prac. Book]]="D",Master_Data[[#This Row],[Schweser Prac. Bk 1]]="D",Master_Data[[#This Row],[Schweser Prac. Bk 2]]="D"),"D","U")</f>
        <v>U</v>
      </c>
      <c r="AL41" s="270" t="str">
        <f>IF(AND(Master_Data[[#This Row],[Lectures]]="D",Master_Data[[#This Row],[Self Study]]="D"),Master_Data[[#This Row],[No. of Chapters]],"U")</f>
        <v>U</v>
      </c>
    </row>
    <row r="42" spans="2:38" ht="27" customHeight="1">
      <c r="B42" s="3">
        <v>34</v>
      </c>
      <c r="C42" s="183" t="str">
        <f ca="1">IF(Master_Data[[#This Row],[Column1]]="Done","",IF(Master_Data[[#This Row],[Column1]]=MIN(Master_Data[Column1]),"Current Week",CONCATENATE("Week ",Master_Data[[#This Row],[Column1]])))</f>
        <v>Week 27</v>
      </c>
      <c r="D42" s="3">
        <f ca="1">IF(Master_Data[[#This Row],[Cum. Undone hrs]]=0,"Done",ROUNDUP(Master_Data[[#This Row],[Cum. Undone hrs]]/Working!$C$8,0))</f>
        <v>27</v>
      </c>
      <c r="E42" s="3">
        <f ca="1">IF(OR(D42=D41,D42=D41+1),Master_Data[[#This Row],[Column1]],D42-1)</f>
        <v>26</v>
      </c>
      <c r="F42" s="15">
        <f>SUM($G$9:G42)</f>
        <v>7.6729166666666648</v>
      </c>
      <c r="G42" s="26">
        <f>IF(Master_Data[[#This Row],[Lectures]]="D","",Master_Data[[#This Row],[Duration (hh:mm)]])</f>
        <v>0.50208333333333333</v>
      </c>
      <c r="H42" s="2" t="s">
        <v>26</v>
      </c>
      <c r="I42" s="2" t="s">
        <v>291</v>
      </c>
      <c r="J42" s="2" t="s">
        <v>135</v>
      </c>
      <c r="K42" s="44" t="s">
        <v>249</v>
      </c>
      <c r="L42" s="273">
        <v>3</v>
      </c>
      <c r="M42" s="16">
        <v>7</v>
      </c>
      <c r="N42" s="43">
        <v>5</v>
      </c>
      <c r="O42" s="43">
        <v>4</v>
      </c>
      <c r="P42" s="43">
        <v>5</v>
      </c>
      <c r="Q42" s="43">
        <v>5</v>
      </c>
      <c r="R42" s="43">
        <v>5</v>
      </c>
      <c r="S42" s="43">
        <v>5</v>
      </c>
      <c r="T42" s="11">
        <v>0.50208333333333333</v>
      </c>
      <c r="U42" s="42">
        <f>(SUM($T$9:T42)/$T$4)*100</f>
        <v>54.565657563336487</v>
      </c>
      <c r="V42" s="27" t="s">
        <v>6</v>
      </c>
      <c r="W42" s="27" t="s">
        <v>6</v>
      </c>
      <c r="X42" s="27" t="s">
        <v>6</v>
      </c>
      <c r="Y42" s="27" t="s">
        <v>6</v>
      </c>
      <c r="Z42" s="27" t="s">
        <v>6</v>
      </c>
      <c r="AA42" s="27" t="s">
        <v>6</v>
      </c>
      <c r="AB42" s="27" t="s">
        <v>6</v>
      </c>
      <c r="AC42" s="27" t="s">
        <v>6</v>
      </c>
      <c r="AD42" s="27" t="s">
        <v>6</v>
      </c>
      <c r="AE42" s="159">
        <v>2</v>
      </c>
      <c r="AF42" s="17"/>
      <c r="AG42" s="174">
        <f>R42/SUM($R$9:$R$72)</f>
        <v>2.0242914979757085E-2</v>
      </c>
      <c r="AH42" s="175">
        <f>Master_Data[[#This Row],[Imp. Level]]/SUMIF(Master_Data[Subject],Master_Data[[#This Row],[Subject]],Master_Data[Imp. Level])</f>
        <v>0.33333333333333331</v>
      </c>
      <c r="AI42" s="157">
        <f>Master_Data[[#This Row],[Subjectwise weights]]*Master_Data[[#This Row],[Confidence Level]]</f>
        <v>0.66666666666666663</v>
      </c>
      <c r="AJ42" s="158" t="str">
        <f>IF(AND(Master_Data[[#This Row],[Inst. EOC Ques.]]="D",Master_Data[[#This Row],[Class Test Book]]="D"),"D","U")</f>
        <v>U</v>
      </c>
      <c r="AK42" s="155" t="str">
        <f>IF(AND(Master_Data[[#This Row],[Inst. Online Portal]]="D",Master_Data[[#This Row],[Prac. Book]]="D",Master_Data[[#This Row],[Schweser Prac. Bk 1]]="D",Master_Data[[#This Row],[Schweser Prac. Bk 2]]="D"),"D","U")</f>
        <v>U</v>
      </c>
      <c r="AL42" s="270" t="str">
        <f>IF(AND(Master_Data[[#This Row],[Lectures]]="D",Master_Data[[#This Row],[Self Study]]="D"),Master_Data[[#This Row],[No. of Chapters]],"U")</f>
        <v>U</v>
      </c>
    </row>
    <row r="43" spans="2:38" ht="27" customHeight="1">
      <c r="B43" s="3">
        <v>35</v>
      </c>
      <c r="C43" s="183" t="str">
        <f ca="1">IF(Master_Data[[#This Row],[Column1]]="Done","",IF(Master_Data[[#This Row],[Column1]]=MIN(Master_Data[Column1]),"Current Week",CONCATENATE("Week ",Master_Data[[#This Row],[Column1]])))</f>
        <v>Week 28</v>
      </c>
      <c r="D43" s="3">
        <f ca="1">IF(Master_Data[[#This Row],[Cum. Undone hrs]]=0,"Done",ROUNDUP(Master_Data[[#This Row],[Cum. Undone hrs]]/Working!$C$8,0))</f>
        <v>28</v>
      </c>
      <c r="E43" s="3">
        <f ca="1">IF(OR(D43=D42,D43=D42+1),Master_Data[[#This Row],[Column1]],D43-1)</f>
        <v>28</v>
      </c>
      <c r="F43" s="150">
        <f>SUM($G$9:G43)</f>
        <v>8.1618055555555529</v>
      </c>
      <c r="G43" s="26">
        <f>IF(Master_Data[[#This Row],[Lectures]]="D","",Master_Data[[#This Row],[Duration (hh:mm)]])</f>
        <v>0.48888888888888887</v>
      </c>
      <c r="H43" s="2" t="s">
        <v>25</v>
      </c>
      <c r="I43" s="2" t="s">
        <v>288</v>
      </c>
      <c r="J43" s="2" t="s">
        <v>135</v>
      </c>
      <c r="K43" s="44" t="s">
        <v>262</v>
      </c>
      <c r="L43" s="273">
        <v>3</v>
      </c>
      <c r="M43" s="16">
        <v>8</v>
      </c>
      <c r="N43" s="43">
        <v>5</v>
      </c>
      <c r="O43" s="43">
        <v>4</v>
      </c>
      <c r="P43" s="43">
        <v>4</v>
      </c>
      <c r="Q43" s="43">
        <v>5</v>
      </c>
      <c r="R43" s="43">
        <v>5</v>
      </c>
      <c r="S43" s="43">
        <v>5</v>
      </c>
      <c r="T43" s="13">
        <v>0.48888888888888887</v>
      </c>
      <c r="U43" s="42">
        <f>(SUM($T$9:T43)/$T$4)*100</f>
        <v>58.04237246283769</v>
      </c>
      <c r="V43" s="27" t="s">
        <v>6</v>
      </c>
      <c r="W43" s="27" t="s">
        <v>6</v>
      </c>
      <c r="X43" s="27" t="s">
        <v>6</v>
      </c>
      <c r="Y43" s="27" t="s">
        <v>6</v>
      </c>
      <c r="Z43" s="27" t="s">
        <v>6</v>
      </c>
      <c r="AA43" s="27" t="s">
        <v>6</v>
      </c>
      <c r="AB43" s="27" t="s">
        <v>6</v>
      </c>
      <c r="AC43" s="27" t="s">
        <v>6</v>
      </c>
      <c r="AD43" s="27" t="s">
        <v>6</v>
      </c>
      <c r="AE43" s="159">
        <v>3</v>
      </c>
      <c r="AF43" s="17"/>
      <c r="AG43" s="174">
        <f>R43/SUM($R$9:$R$84)</f>
        <v>1.7006802721088437E-2</v>
      </c>
      <c r="AH43" s="175">
        <f>Master_Data[[#This Row],[Imp. Level]]/SUMIF(Master_Data[Subject],Master_Data[[#This Row],[Subject]],Master_Data[Imp. Level])</f>
        <v>9.8039215686274508E-2</v>
      </c>
      <c r="AI43" s="157">
        <f>Master_Data[[#This Row],[Subjectwise weights]]*Master_Data[[#This Row],[Confidence Level]]</f>
        <v>0.29411764705882354</v>
      </c>
      <c r="AJ43" s="158" t="str">
        <f>IF(AND(Master_Data[[#This Row],[Inst. EOC Ques.]]="D",Master_Data[[#This Row],[Class Test Book]]="D"),"D","U")</f>
        <v>U</v>
      </c>
      <c r="AK43" s="155" t="str">
        <f>IF(AND(Master_Data[[#This Row],[Inst. Online Portal]]="D",Master_Data[[#This Row],[Prac. Book]]="D",Master_Data[[#This Row],[Schweser Prac. Bk 1]]="D",Master_Data[[#This Row],[Schweser Prac. Bk 2]]="D"),"D","U")</f>
        <v>U</v>
      </c>
      <c r="AL43" s="270" t="str">
        <f>IF(AND(Master_Data[[#This Row],[Lectures]]="D",Master_Data[[#This Row],[Self Study]]="D"),Master_Data[[#This Row],[No. of Chapters]],"U")</f>
        <v>U</v>
      </c>
    </row>
    <row r="44" spans="2:38" ht="27" customHeight="1">
      <c r="B44" s="3">
        <v>36</v>
      </c>
      <c r="C44" s="183" t="str">
        <f ca="1">IF(Master_Data[[#This Row],[Column1]]="Done","",IF(Master_Data[[#This Row],[Column1]]=MIN(Master_Data[Column1]),"Current Week",CONCATENATE("Week ",Master_Data[[#This Row],[Column1]])))</f>
        <v>Week 29</v>
      </c>
      <c r="D44" s="3">
        <f ca="1">IF(Master_Data[[#This Row],[Cum. Undone hrs]]=0,"Done",ROUNDUP(Master_Data[[#This Row],[Cum. Undone hrs]]/Working!$C$8,0))</f>
        <v>29</v>
      </c>
      <c r="E44" s="3">
        <f ca="1">IF(OR(D44=D43,D44=D43+1),Master_Data[[#This Row],[Column1]],D44-1)</f>
        <v>29</v>
      </c>
      <c r="F44" s="150">
        <f>SUM($G$9:G44)</f>
        <v>8.2479166666666632</v>
      </c>
      <c r="G44" s="26">
        <f>IF(Master_Data[[#This Row],[Lectures]]="D","",Master_Data[[#This Row],[Duration (hh:mm)]])</f>
        <v>8.6111111111111124E-2</v>
      </c>
      <c r="H44" s="2" t="s">
        <v>25</v>
      </c>
      <c r="I44" s="2">
        <v>54</v>
      </c>
      <c r="J44" s="2" t="s">
        <v>135</v>
      </c>
      <c r="K44" s="44" t="s">
        <v>276</v>
      </c>
      <c r="L44" s="273">
        <v>1</v>
      </c>
      <c r="M44" s="16">
        <v>2</v>
      </c>
      <c r="N44" s="43">
        <v>3</v>
      </c>
      <c r="O44" s="43">
        <v>4</v>
      </c>
      <c r="P44" s="43">
        <v>4</v>
      </c>
      <c r="Q44" s="43">
        <v>5</v>
      </c>
      <c r="R44" s="43">
        <v>5</v>
      </c>
      <c r="S44" s="43">
        <v>5</v>
      </c>
      <c r="T44" s="13">
        <v>8.6111111111111124E-2</v>
      </c>
      <c r="U44" s="42">
        <f>(SUM($T$9:T44)/$T$4)*100</f>
        <v>58.654748382636193</v>
      </c>
      <c r="V44" s="27" t="s">
        <v>6</v>
      </c>
      <c r="W44" s="27" t="s">
        <v>6</v>
      </c>
      <c r="X44" s="27" t="s">
        <v>6</v>
      </c>
      <c r="Y44" s="27" t="s">
        <v>6</v>
      </c>
      <c r="Z44" s="27" t="s">
        <v>6</v>
      </c>
      <c r="AA44" s="27" t="s">
        <v>6</v>
      </c>
      <c r="AB44" s="27" t="s">
        <v>6</v>
      </c>
      <c r="AC44" s="27" t="s">
        <v>6</v>
      </c>
      <c r="AD44" s="27" t="s">
        <v>6</v>
      </c>
      <c r="AE44" s="159">
        <v>3</v>
      </c>
      <c r="AF44" s="17"/>
      <c r="AG44" s="174">
        <f>R44/SUM($R$9:$R$84)</f>
        <v>1.7006802721088437E-2</v>
      </c>
      <c r="AH44" s="175">
        <f>Master_Data[[#This Row],[Imp. Level]]/SUMIF(Master_Data[Subject],Master_Data[[#This Row],[Subject]],Master_Data[Imp. Level])</f>
        <v>9.8039215686274508E-2</v>
      </c>
      <c r="AI44" s="157">
        <f>Master_Data[[#This Row],[Subjectwise weights]]*Master_Data[[#This Row],[Confidence Level]]</f>
        <v>0.29411764705882354</v>
      </c>
      <c r="AJ44" s="158" t="str">
        <f>IF(AND(Master_Data[[#This Row],[Inst. EOC Ques.]]="D",Master_Data[[#This Row],[Class Test Book]]="D"),"D","U")</f>
        <v>U</v>
      </c>
      <c r="AK44" s="155" t="str">
        <f>IF(AND(Master_Data[[#This Row],[Inst. Online Portal]]="D",Master_Data[[#This Row],[Prac. Book]]="D",Master_Data[[#This Row],[Schweser Prac. Bk 1]]="D",Master_Data[[#This Row],[Schweser Prac. Bk 2]]="D"),"D","U")</f>
        <v>U</v>
      </c>
      <c r="AL44" s="270" t="str">
        <f>IF(AND(Master_Data[[#This Row],[Lectures]]="D",Master_Data[[#This Row],[Self Study]]="D"),Master_Data[[#This Row],[No. of Chapters]],"U")</f>
        <v>U</v>
      </c>
    </row>
    <row r="45" spans="2:38" ht="27" customHeight="1">
      <c r="B45" s="3">
        <v>37</v>
      </c>
      <c r="C45" s="183" t="str">
        <f ca="1">IF(Master_Data[[#This Row],[Column1]]="Done","",IF(Master_Data[[#This Row],[Column1]]=MIN(Master_Data[Column1]),"Current Week",CONCATENATE("Week ",Master_Data[[#This Row],[Column1]])))</f>
        <v>Week 30</v>
      </c>
      <c r="D45" s="3">
        <f ca="1">IF(Master_Data[[#This Row],[Cum. Undone hrs]]=0,"Done",ROUNDUP(Master_Data[[#This Row],[Cum. Undone hrs]]/Working!$C$8,0))</f>
        <v>30</v>
      </c>
      <c r="E45" s="3">
        <f ca="1">IF(OR(D45=D43,D45=D43+1),Master_Data[[#This Row],[Column1]],D45-1)</f>
        <v>29</v>
      </c>
      <c r="F45" s="150">
        <f>SUM($G$9:G45)</f>
        <v>8.6756944444444404</v>
      </c>
      <c r="G45" s="26">
        <f>IF(Master_Data[[#This Row],[Lectures]]="D","",Master_Data[[#This Row],[Duration (hh:mm)]])</f>
        <v>0.42777777777777781</v>
      </c>
      <c r="H45" s="2" t="s">
        <v>25</v>
      </c>
      <c r="I45" s="2" t="s">
        <v>289</v>
      </c>
      <c r="J45" s="2" t="s">
        <v>135</v>
      </c>
      <c r="K45" s="44" t="s">
        <v>263</v>
      </c>
      <c r="L45" s="273">
        <v>4</v>
      </c>
      <c r="M45" s="16">
        <v>12</v>
      </c>
      <c r="N45" s="43">
        <v>5</v>
      </c>
      <c r="O45" s="43">
        <v>4</v>
      </c>
      <c r="P45" s="43">
        <v>5</v>
      </c>
      <c r="Q45" s="43">
        <v>5</v>
      </c>
      <c r="R45" s="43">
        <v>5</v>
      </c>
      <c r="S45" s="43">
        <v>5</v>
      </c>
      <c r="T45" s="13">
        <v>0.42777777777777781</v>
      </c>
      <c r="U45" s="42">
        <f>(SUM($T$9:T45)/$T$4)*100</f>
        <v>61.696873919699748</v>
      </c>
      <c r="V45" s="27" t="s">
        <v>6</v>
      </c>
      <c r="W45" s="27" t="s">
        <v>6</v>
      </c>
      <c r="X45" s="27" t="s">
        <v>6</v>
      </c>
      <c r="Y45" s="27" t="s">
        <v>6</v>
      </c>
      <c r="Z45" s="27" t="s">
        <v>6</v>
      </c>
      <c r="AA45" s="27" t="s">
        <v>6</v>
      </c>
      <c r="AB45" s="27" t="s">
        <v>6</v>
      </c>
      <c r="AC45" s="27" t="s">
        <v>6</v>
      </c>
      <c r="AD45" s="27" t="s">
        <v>6</v>
      </c>
      <c r="AE45" s="159">
        <v>2</v>
      </c>
      <c r="AF45" s="17"/>
      <c r="AG45" s="174">
        <f>R45/SUM($R$9:$R$84)</f>
        <v>1.7006802721088437E-2</v>
      </c>
      <c r="AH45" s="175">
        <f>Master_Data[[#This Row],[Imp. Level]]/SUMIF(Master_Data[Subject],Master_Data[[#This Row],[Subject]],Master_Data[Imp. Level])</f>
        <v>9.8039215686274508E-2</v>
      </c>
      <c r="AI45" s="157">
        <f>Master_Data[[#This Row],[Subjectwise weights]]*Master_Data[[#This Row],[Confidence Level]]</f>
        <v>0.19607843137254902</v>
      </c>
      <c r="AJ45" s="158" t="str">
        <f>IF(AND(Master_Data[[#This Row],[Inst. EOC Ques.]]="D",Master_Data[[#This Row],[Class Test Book]]="D"),"D","U")</f>
        <v>U</v>
      </c>
      <c r="AK45" s="155" t="str">
        <f>IF(AND(Master_Data[[#This Row],[Inst. Online Portal]]="D",Master_Data[[#This Row],[Prac. Book]]="D",Master_Data[[#This Row],[Schweser Prac. Bk 1]]="D",Master_Data[[#This Row],[Schweser Prac. Bk 2]]="D"),"D","U")</f>
        <v>U</v>
      </c>
      <c r="AL45" s="270" t="str">
        <f>IF(AND(Master_Data[[#This Row],[Lectures]]="D",Master_Data[[#This Row],[Self Study]]="D"),Master_Data[[#This Row],[No. of Chapters]],"U")</f>
        <v>U</v>
      </c>
    </row>
    <row r="46" spans="2:38" ht="27" customHeight="1">
      <c r="B46" s="3">
        <v>38</v>
      </c>
      <c r="C46" s="183" t="str">
        <f ca="1">IF(Master_Data[[#This Row],[Column1]]="Done","",IF(Master_Data[[#This Row],[Column1]]=MIN(Master_Data[Column1]),"Current Week",CONCATENATE("Week ",Master_Data[[#This Row],[Column1]])))</f>
        <v>Week 30</v>
      </c>
      <c r="D46" s="3">
        <f ca="1">IF(Master_Data[[#This Row],[Cum. Undone hrs]]=0,"Done",ROUNDUP(Master_Data[[#This Row],[Cum. Undone hrs]]/Working!$C$8,0))</f>
        <v>30</v>
      </c>
      <c r="E46" s="3">
        <f ca="1">IF(OR(D46=D45,D46=D45+1),Master_Data[[#This Row],[Column1]],D46-1)</f>
        <v>30</v>
      </c>
      <c r="F46" s="15">
        <f>SUM($G$9:G46)</f>
        <v>8.7361111111111072</v>
      </c>
      <c r="G46" s="26">
        <f>IF(Master_Data[[#This Row],[Lectures]]="D","",Master_Data[[#This Row],[Duration (hh:mm)]])</f>
        <v>6.0416666666666667E-2</v>
      </c>
      <c r="H46" s="2" t="s">
        <v>26</v>
      </c>
      <c r="I46" s="2">
        <v>72</v>
      </c>
      <c r="J46" s="2" t="s">
        <v>135</v>
      </c>
      <c r="K46" s="44" t="s">
        <v>190</v>
      </c>
      <c r="L46" s="273">
        <v>1</v>
      </c>
      <c r="M46" s="16">
        <v>2</v>
      </c>
      <c r="N46" s="43">
        <v>5</v>
      </c>
      <c r="O46" s="43">
        <v>4</v>
      </c>
      <c r="P46" s="43">
        <v>5</v>
      </c>
      <c r="Q46" s="43">
        <v>5</v>
      </c>
      <c r="R46" s="43">
        <v>5</v>
      </c>
      <c r="S46" s="43">
        <v>5</v>
      </c>
      <c r="T46" s="11">
        <v>6.0416666666666667E-2</v>
      </c>
      <c r="U46" s="42">
        <f>(SUM($T$9:T46)/$T$4)*100</f>
        <v>62.126524766655159</v>
      </c>
      <c r="V46" s="27" t="s">
        <v>6</v>
      </c>
      <c r="W46" s="27" t="s">
        <v>6</v>
      </c>
      <c r="X46" s="27" t="s">
        <v>6</v>
      </c>
      <c r="Y46" s="27" t="s">
        <v>6</v>
      </c>
      <c r="Z46" s="27" t="s">
        <v>6</v>
      </c>
      <c r="AA46" s="27" t="s">
        <v>6</v>
      </c>
      <c r="AB46" s="27" t="s">
        <v>6</v>
      </c>
      <c r="AC46" s="27" t="s">
        <v>6</v>
      </c>
      <c r="AD46" s="27" t="s">
        <v>6</v>
      </c>
      <c r="AE46" s="159">
        <v>2</v>
      </c>
      <c r="AF46" s="17"/>
      <c r="AG46" s="174">
        <f>R46/SUM($R$9:$R$72)</f>
        <v>2.0242914979757085E-2</v>
      </c>
      <c r="AH46" s="175">
        <f>Master_Data[[#This Row],[Imp. Level]]/SUMIF(Master_Data[Subject],Master_Data[[#This Row],[Subject]],Master_Data[Imp. Level])</f>
        <v>0.33333333333333331</v>
      </c>
      <c r="AI46" s="157">
        <f>Master_Data[[#This Row],[Subjectwise weights]]*Master_Data[[#This Row],[Confidence Level]]</f>
        <v>0.66666666666666663</v>
      </c>
      <c r="AJ46" s="158" t="str">
        <f>IF(AND(Master_Data[[#This Row],[Inst. EOC Ques.]]="D",Master_Data[[#This Row],[Class Test Book]]="D"),"D","U")</f>
        <v>U</v>
      </c>
      <c r="AK46" s="155" t="str">
        <f>IF(AND(Master_Data[[#This Row],[Inst. Online Portal]]="D",Master_Data[[#This Row],[Prac. Book]]="D",Master_Data[[#This Row],[Schweser Prac. Bk 1]]="D",Master_Data[[#This Row],[Schweser Prac. Bk 2]]="D"),"D","U")</f>
        <v>U</v>
      </c>
      <c r="AL46" s="270" t="str">
        <f>IF(AND(Master_Data[[#This Row],[Lectures]]="D",Master_Data[[#This Row],[Self Study]]="D"),Master_Data[[#This Row],[No. of Chapters]],"U")</f>
        <v>U</v>
      </c>
    </row>
    <row r="47" spans="2:38" ht="27" customHeight="1">
      <c r="B47" s="3">
        <v>39</v>
      </c>
      <c r="C47" s="183" t="str">
        <f ca="1">IF(Master_Data[[#This Row],[Column1]]="Done","",IF(Master_Data[[#This Row],[Column1]]=MIN(Master_Data[Column1]),"Current Week",CONCATENATE("Week ",Master_Data[[#This Row],[Column1]])))</f>
        <v>Week 30</v>
      </c>
      <c r="D47" s="3">
        <f ca="1">IF(Master_Data[[#This Row],[Cum. Undone hrs]]=0,"Done",ROUNDUP(Master_Data[[#This Row],[Cum. Undone hrs]]/Working!$C$8,0))</f>
        <v>30</v>
      </c>
      <c r="E47" s="3">
        <f ca="1">IF(OR(D47=D46,D47=D46+1),Master_Data[[#This Row],[Column1]],D47-1)</f>
        <v>30</v>
      </c>
      <c r="F47" s="150">
        <f>SUM($G$9:G47)</f>
        <v>8.7854166666666629</v>
      </c>
      <c r="G47" s="26">
        <f>IF(Master_Data[[#This Row],[Lectures]]="D","",Master_Data[[#This Row],[Duration (hh:mm)]])</f>
        <v>4.9305555555555554E-2</v>
      </c>
      <c r="H47" s="2" t="s">
        <v>11</v>
      </c>
      <c r="I47" s="2">
        <v>89</v>
      </c>
      <c r="J47" s="2" t="s">
        <v>135</v>
      </c>
      <c r="K47" s="44" t="s">
        <v>12</v>
      </c>
      <c r="L47" s="273">
        <v>1</v>
      </c>
      <c r="M47" s="16">
        <v>8</v>
      </c>
      <c r="N47" s="43">
        <v>1</v>
      </c>
      <c r="O47" s="43">
        <v>1</v>
      </c>
      <c r="P47" s="43">
        <v>1</v>
      </c>
      <c r="Q47" s="43">
        <v>1</v>
      </c>
      <c r="R47" s="43">
        <v>1</v>
      </c>
      <c r="S47" s="43">
        <v>2</v>
      </c>
      <c r="T47" s="13">
        <v>4.9305555555555554E-2</v>
      </c>
      <c r="U47" s="42">
        <f>(SUM($T$9:T47)/$T$4)*100</f>
        <v>62.477159365894629</v>
      </c>
      <c r="V47" s="27" t="s">
        <v>6</v>
      </c>
      <c r="W47" s="27" t="s">
        <v>6</v>
      </c>
      <c r="X47" s="27" t="s">
        <v>6</v>
      </c>
      <c r="Y47" s="27" t="s">
        <v>6</v>
      </c>
      <c r="Z47" s="27" t="s">
        <v>6</v>
      </c>
      <c r="AA47" s="27" t="s">
        <v>6</v>
      </c>
      <c r="AB47" s="27" t="s">
        <v>6</v>
      </c>
      <c r="AC47" s="27" t="s">
        <v>6</v>
      </c>
      <c r="AD47" s="27" t="s">
        <v>6</v>
      </c>
      <c r="AE47" s="159">
        <v>3</v>
      </c>
      <c r="AF47" s="17"/>
      <c r="AG47" s="174">
        <f>R47/SUM($R$9:$R$84)</f>
        <v>3.4013605442176869E-3</v>
      </c>
      <c r="AH47" s="175">
        <f>Master_Data[[#This Row],[Imp. Level]]/SUMIF(Master_Data[Subject],Master_Data[[#This Row],[Subject]],Master_Data[Imp. Level])</f>
        <v>8.3333333333333329E-2</v>
      </c>
      <c r="AI47" s="157">
        <f>Master_Data[[#This Row],[Subjectwise weights]]*Master_Data[[#This Row],[Confidence Level]]</f>
        <v>0.25</v>
      </c>
      <c r="AJ47" s="158" t="str">
        <f>IF(AND(Master_Data[[#This Row],[Inst. EOC Ques.]]="D",Master_Data[[#This Row],[Class Test Book]]="D"),"D","U")</f>
        <v>U</v>
      </c>
      <c r="AK47" s="155" t="str">
        <f>IF(AND(Master_Data[[#This Row],[Inst. Online Portal]]="D",Master_Data[[#This Row],[Prac. Book]]="D",Master_Data[[#This Row],[Schweser Prac. Bk 1]]="D",Master_Data[[#This Row],[Schweser Prac. Bk 2]]="D"),"D","U")</f>
        <v>U</v>
      </c>
      <c r="AL47" s="270" t="str">
        <f>IF(AND(Master_Data[[#This Row],[Lectures]]="D",Master_Data[[#This Row],[Self Study]]="D"),Master_Data[[#This Row],[No. of Chapters]],"U")</f>
        <v>U</v>
      </c>
    </row>
    <row r="48" spans="2:38" ht="27" customHeight="1">
      <c r="B48" s="3">
        <v>40</v>
      </c>
      <c r="C48" s="183" t="str">
        <f ca="1">IF(Master_Data[[#This Row],[Column1]]="Done","",IF(Master_Data[[#This Row],[Column1]]=MIN(Master_Data[Column1]),"Current Week",CONCATENATE("Week ",Master_Data[[#This Row],[Column1]])))</f>
        <v>Week 31</v>
      </c>
      <c r="D48" s="3">
        <f ca="1">IF(Master_Data[[#This Row],[Cum. Undone hrs]]=0,"Done",ROUNDUP(Master_Data[[#This Row],[Cum. Undone hrs]]/Working!$C$8,0))</f>
        <v>31</v>
      </c>
      <c r="E48" s="3">
        <f ca="1">IF(OR(D48=D47,D48=D47+1),Master_Data[[#This Row],[Column1]],D48-1)</f>
        <v>31</v>
      </c>
      <c r="F48" s="150">
        <f>SUM($G$9:G48)</f>
        <v>9.0229166666666636</v>
      </c>
      <c r="G48" s="26">
        <f>IF(Master_Data[[#This Row],[Lectures]]="D","",Master_Data[[#This Row],[Duration (hh:mm)]])</f>
        <v>0.23750000000000002</v>
      </c>
      <c r="H48" s="2" t="s">
        <v>11</v>
      </c>
      <c r="I48" s="2" t="s">
        <v>238</v>
      </c>
      <c r="J48" s="2" t="s">
        <v>135</v>
      </c>
      <c r="K48" s="44" t="s">
        <v>256</v>
      </c>
      <c r="L48" s="273">
        <v>2</v>
      </c>
      <c r="M48" s="16">
        <v>6</v>
      </c>
      <c r="N48" s="43">
        <v>3</v>
      </c>
      <c r="O48" s="43">
        <v>1</v>
      </c>
      <c r="P48" s="43">
        <v>4</v>
      </c>
      <c r="Q48" s="43">
        <v>4</v>
      </c>
      <c r="R48" s="43">
        <v>5</v>
      </c>
      <c r="S48" s="43">
        <v>5</v>
      </c>
      <c r="T48" s="13">
        <v>0.23750000000000002</v>
      </c>
      <c r="U48" s="42">
        <f>(SUM($T$9:T48)/$T$4)*100</f>
        <v>64.166131660822785</v>
      </c>
      <c r="V48" s="27" t="s">
        <v>6</v>
      </c>
      <c r="W48" s="27" t="s">
        <v>6</v>
      </c>
      <c r="X48" s="27" t="s">
        <v>6</v>
      </c>
      <c r="Y48" s="27" t="s">
        <v>6</v>
      </c>
      <c r="Z48" s="27" t="s">
        <v>6</v>
      </c>
      <c r="AA48" s="27" t="s">
        <v>6</v>
      </c>
      <c r="AB48" s="27" t="s">
        <v>6</v>
      </c>
      <c r="AC48" s="27" t="s">
        <v>6</v>
      </c>
      <c r="AD48" s="27" t="s">
        <v>6</v>
      </c>
      <c r="AE48" s="159">
        <v>2</v>
      </c>
      <c r="AF48" s="17"/>
      <c r="AG48" s="174">
        <f>R48/SUM($R$9:$R$84)</f>
        <v>1.7006802721088437E-2</v>
      </c>
      <c r="AH48" s="175">
        <f>Master_Data[[#This Row],[Imp. Level]]/SUMIF(Master_Data[Subject],Master_Data[[#This Row],[Subject]],Master_Data[Imp. Level])</f>
        <v>0.41666666666666669</v>
      </c>
      <c r="AI48" s="157">
        <f>Master_Data[[#This Row],[Subjectwise weights]]*Master_Data[[#This Row],[Confidence Level]]</f>
        <v>0.83333333333333337</v>
      </c>
      <c r="AJ48" s="158" t="str">
        <f>IF(AND(Master_Data[[#This Row],[Inst. EOC Ques.]]="D",Master_Data[[#This Row],[Class Test Book]]="D"),"D","U")</f>
        <v>U</v>
      </c>
      <c r="AK48" s="155" t="str">
        <f>IF(AND(Master_Data[[#This Row],[Inst. Online Portal]]="D",Master_Data[[#This Row],[Prac. Book]]="D",Master_Data[[#This Row],[Schweser Prac. Bk 1]]="D",Master_Data[[#This Row],[Schweser Prac. Bk 2]]="D"),"D","U")</f>
        <v>U</v>
      </c>
      <c r="AL48" s="270" t="str">
        <f>IF(AND(Master_Data[[#This Row],[Lectures]]="D",Master_Data[[#This Row],[Self Study]]="D"),Master_Data[[#This Row],[No. of Chapters]],"U")</f>
        <v>U</v>
      </c>
    </row>
    <row r="49" spans="2:38" ht="27" customHeight="1">
      <c r="B49" s="3">
        <v>41</v>
      </c>
      <c r="C49" s="183" t="str">
        <f ca="1">IF(Master_Data[[#This Row],[Column1]]="Done","",IF(Master_Data[[#This Row],[Column1]]=MIN(Master_Data[Column1]),"Current Week",CONCATENATE("Week ",Master_Data[[#This Row],[Column1]])))</f>
        <v>Week 31</v>
      </c>
      <c r="D49" s="3">
        <f ca="1">IF(Master_Data[[#This Row],[Cum. Undone hrs]]=0,"Done",ROUNDUP(Master_Data[[#This Row],[Cum. Undone hrs]]/Working!$C$8,0))</f>
        <v>31</v>
      </c>
      <c r="E49" s="3">
        <f ca="1">IF(OR(D49=D48,D49=D48+1),Master_Data[[#This Row],[Column1]],D49-1)</f>
        <v>31</v>
      </c>
      <c r="F49" s="150">
        <f>SUM($G$9:G49)</f>
        <v>9.0666666666666629</v>
      </c>
      <c r="G49" s="26">
        <f>IF(Master_Data[[#This Row],[Lectures]]="D","",Master_Data[[#This Row],[Duration (hh:mm)]])</f>
        <v>4.3750000000000004E-2</v>
      </c>
      <c r="H49" s="2" t="s">
        <v>11</v>
      </c>
      <c r="I49" s="2">
        <v>93</v>
      </c>
      <c r="J49" s="2" t="s">
        <v>135</v>
      </c>
      <c r="K49" s="44" t="s">
        <v>132</v>
      </c>
      <c r="L49" s="273">
        <v>1</v>
      </c>
      <c r="M49" s="16">
        <v>2</v>
      </c>
      <c r="N49" s="43">
        <v>1</v>
      </c>
      <c r="O49" s="43">
        <v>1</v>
      </c>
      <c r="P49" s="43">
        <v>2</v>
      </c>
      <c r="Q49" s="43">
        <v>4</v>
      </c>
      <c r="R49" s="43">
        <v>2</v>
      </c>
      <c r="S49" s="43">
        <v>2</v>
      </c>
      <c r="T49" s="13">
        <v>4.3750000000000004E-2</v>
      </c>
      <c r="U49" s="42">
        <f>(SUM($T$9:T49)/$T$4)*100</f>
        <v>64.47725813620427</v>
      </c>
      <c r="V49" s="27" t="s">
        <v>6</v>
      </c>
      <c r="W49" s="27" t="s">
        <v>6</v>
      </c>
      <c r="X49" s="27" t="s">
        <v>6</v>
      </c>
      <c r="Y49" s="27" t="s">
        <v>6</v>
      </c>
      <c r="Z49" s="27" t="s">
        <v>6</v>
      </c>
      <c r="AA49" s="27" t="s">
        <v>6</v>
      </c>
      <c r="AB49" s="27" t="s">
        <v>6</v>
      </c>
      <c r="AC49" s="27" t="s">
        <v>6</v>
      </c>
      <c r="AD49" s="27" t="s">
        <v>6</v>
      </c>
      <c r="AE49" s="159">
        <v>3</v>
      </c>
      <c r="AF49" s="17"/>
      <c r="AG49" s="174">
        <f>R49/SUM($R$9:$R$84)</f>
        <v>6.8027210884353739E-3</v>
      </c>
      <c r="AH49" s="175">
        <f>Master_Data[[#This Row],[Imp. Level]]/SUMIF(Master_Data[Subject],Master_Data[[#This Row],[Subject]],Master_Data[Imp. Level])</f>
        <v>0.16666666666666666</v>
      </c>
      <c r="AI49" s="157">
        <f>Master_Data[[#This Row],[Subjectwise weights]]*Master_Data[[#This Row],[Confidence Level]]</f>
        <v>0.5</v>
      </c>
      <c r="AJ49" s="158" t="str">
        <f>IF(AND(Master_Data[[#This Row],[Inst. EOC Ques.]]="D",Master_Data[[#This Row],[Class Test Book]]="D"),"D","U")</f>
        <v>U</v>
      </c>
      <c r="AK49" s="155" t="str">
        <f>IF(AND(Master_Data[[#This Row],[Inst. Online Portal]]="D",Master_Data[[#This Row],[Prac. Book]]="D",Master_Data[[#This Row],[Schweser Prac. Bk 1]]="D",Master_Data[[#This Row],[Schweser Prac. Bk 2]]="D"),"D","U")</f>
        <v>U</v>
      </c>
      <c r="AL49" s="270" t="str">
        <f>IF(AND(Master_Data[[#This Row],[Lectures]]="D",Master_Data[[#This Row],[Self Study]]="D"),Master_Data[[#This Row],[No. of Chapters]],"U")</f>
        <v>U</v>
      </c>
    </row>
    <row r="50" spans="2:38" ht="27" customHeight="1">
      <c r="B50" s="3">
        <v>42</v>
      </c>
      <c r="C50" s="183" t="str">
        <f ca="1">IF(Master_Data[[#This Row],[Column1]]="Done","",IF(Master_Data[[#This Row],[Column1]]=MIN(Master_Data[Column1]),"Current Week",CONCATENATE("Week ",Master_Data[[#This Row],[Column1]])))</f>
        <v>Week 31</v>
      </c>
      <c r="D50" s="3">
        <f ca="1">IF(Master_Data[[#This Row],[Cum. Undone hrs]]=0,"Done",ROUNDUP(Master_Data[[#This Row],[Cum. Undone hrs]]/Working!$C$8,0))</f>
        <v>31</v>
      </c>
      <c r="E50" s="3">
        <f ca="1">IF(OR(D50=D49,D50=D49+1),Master_Data[[#This Row],[Column1]],D50-1)</f>
        <v>31</v>
      </c>
      <c r="F50" s="150">
        <f>SUM($G$9:G50)</f>
        <v>9.1041666666666625</v>
      </c>
      <c r="G50" s="26">
        <f>IF(Master_Data[[#This Row],[Lectures]]="D","",Master_Data[[#This Row],[Duration (hh:mm)]])</f>
        <v>3.7499999999999999E-2</v>
      </c>
      <c r="H50" s="2" t="s">
        <v>11</v>
      </c>
      <c r="I50" s="2">
        <v>92</v>
      </c>
      <c r="J50" s="2" t="s">
        <v>135</v>
      </c>
      <c r="K50" s="44" t="s">
        <v>257</v>
      </c>
      <c r="L50" s="273">
        <v>1</v>
      </c>
      <c r="M50" s="16">
        <v>5</v>
      </c>
      <c r="N50" s="43">
        <v>2</v>
      </c>
      <c r="O50" s="43">
        <v>1</v>
      </c>
      <c r="P50" s="43">
        <v>3</v>
      </c>
      <c r="Q50" s="43">
        <v>3</v>
      </c>
      <c r="R50" s="43">
        <v>4</v>
      </c>
      <c r="S50" s="43">
        <v>5</v>
      </c>
      <c r="T50" s="13">
        <v>3.7499999999999999E-2</v>
      </c>
      <c r="U50" s="42">
        <f>(SUM($T$9:T50)/$T$4)*100</f>
        <v>64.743937972245561</v>
      </c>
      <c r="V50" s="27" t="s">
        <v>6</v>
      </c>
      <c r="W50" s="27" t="s">
        <v>6</v>
      </c>
      <c r="X50" s="27" t="s">
        <v>6</v>
      </c>
      <c r="Y50" s="27" t="s">
        <v>6</v>
      </c>
      <c r="Z50" s="27" t="s">
        <v>6</v>
      </c>
      <c r="AA50" s="27" t="s">
        <v>6</v>
      </c>
      <c r="AB50" s="27" t="s">
        <v>6</v>
      </c>
      <c r="AC50" s="27" t="s">
        <v>6</v>
      </c>
      <c r="AD50" s="27" t="s">
        <v>6</v>
      </c>
      <c r="AE50" s="159">
        <v>3</v>
      </c>
      <c r="AF50" s="17"/>
      <c r="AG50" s="174">
        <f>R50/SUM($R$9:$R$84)</f>
        <v>1.3605442176870748E-2</v>
      </c>
      <c r="AH50" s="175">
        <f>Master_Data[[#This Row],[Imp. Level]]/SUMIF(Master_Data[Subject],Master_Data[[#This Row],[Subject]],Master_Data[Imp. Level])</f>
        <v>0.33333333333333331</v>
      </c>
      <c r="AI50" s="157">
        <f>Master_Data[[#This Row],[Subjectwise weights]]*Master_Data[[#This Row],[Confidence Level]]</f>
        <v>1</v>
      </c>
      <c r="AJ50" s="158" t="str">
        <f>IF(AND(Master_Data[[#This Row],[Inst. EOC Ques.]]="D",Master_Data[[#This Row],[Class Test Book]]="D"),"D","U")</f>
        <v>U</v>
      </c>
      <c r="AK50" s="155" t="str">
        <f>IF(AND(Master_Data[[#This Row],[Inst. Online Portal]]="D",Master_Data[[#This Row],[Prac. Book]]="D",Master_Data[[#This Row],[Schweser Prac. Bk 1]]="D",Master_Data[[#This Row],[Schweser Prac. Bk 2]]="D"),"D","U")</f>
        <v>U</v>
      </c>
      <c r="AL50" s="270" t="str">
        <f>IF(AND(Master_Data[[#This Row],[Lectures]]="D",Master_Data[[#This Row],[Self Study]]="D"),Master_Data[[#This Row],[No. of Chapters]],"U")</f>
        <v>U</v>
      </c>
    </row>
    <row r="51" spans="2:38" ht="27" customHeight="1">
      <c r="B51" s="3">
        <v>43</v>
      </c>
      <c r="C51" s="183" t="str">
        <f ca="1">IF(Master_Data[[#This Row],[Column1]]="Done","",IF(Master_Data[[#This Row],[Column1]]=MIN(Master_Data[Column1]),"Current Week",CONCATENATE("Week ",Master_Data[[#This Row],[Column1]])))</f>
        <v>Week 32</v>
      </c>
      <c r="D51" s="3">
        <f ca="1">IF(Master_Data[[#This Row],[Cum. Undone hrs]]=0,"Done",ROUNDUP(Master_Data[[#This Row],[Cum. Undone hrs]]/Working!$C$8,0))</f>
        <v>32</v>
      </c>
      <c r="E51" s="3">
        <f ca="1">IF(OR(D51=D50,D51=D50+1),Master_Data[[#This Row],[Column1]],D51-1)</f>
        <v>32</v>
      </c>
      <c r="F51" s="150">
        <f>SUM($G$9:G51)</f>
        <v>9.1687499999999957</v>
      </c>
      <c r="G51" s="26">
        <f>IF(Master_Data[[#This Row],[Lectures]]="D","",Master_Data[[#This Row],[Duration (hh:mm)]])</f>
        <v>6.458333333333334E-2</v>
      </c>
      <c r="H51" s="2" t="s">
        <v>25</v>
      </c>
      <c r="I51" s="2">
        <v>47</v>
      </c>
      <c r="J51" s="2" t="s">
        <v>135</v>
      </c>
      <c r="K51" s="44" t="s">
        <v>212</v>
      </c>
      <c r="L51" s="273">
        <v>1</v>
      </c>
      <c r="M51" s="16">
        <v>2</v>
      </c>
      <c r="N51" s="43">
        <v>3</v>
      </c>
      <c r="O51" s="43">
        <v>1</v>
      </c>
      <c r="P51" s="43">
        <v>3</v>
      </c>
      <c r="Q51" s="43">
        <v>3</v>
      </c>
      <c r="R51" s="43">
        <v>3</v>
      </c>
      <c r="S51" s="43">
        <v>3</v>
      </c>
      <c r="T51" s="11">
        <v>6.458333333333334E-2</v>
      </c>
      <c r="U51" s="42">
        <f>(SUM($T$9:T51)/$T$4)*100</f>
        <v>65.20321991209444</v>
      </c>
      <c r="V51" s="27" t="s">
        <v>6</v>
      </c>
      <c r="W51" s="27" t="s">
        <v>6</v>
      </c>
      <c r="X51" s="27" t="s">
        <v>6</v>
      </c>
      <c r="Y51" s="27" t="s">
        <v>6</v>
      </c>
      <c r="Z51" s="27" t="s">
        <v>6</v>
      </c>
      <c r="AA51" s="27" t="s">
        <v>6</v>
      </c>
      <c r="AB51" s="27" t="s">
        <v>6</v>
      </c>
      <c r="AC51" s="27" t="s">
        <v>6</v>
      </c>
      <c r="AD51" s="27" t="s">
        <v>6</v>
      </c>
      <c r="AE51" s="159">
        <v>3</v>
      </c>
      <c r="AF51" s="17"/>
      <c r="AG51" s="174">
        <f>R51/SUM($R$9:$R$84)</f>
        <v>1.020408163265306E-2</v>
      </c>
      <c r="AH51" s="175">
        <f>Master_Data[[#This Row],[Imp. Level]]/SUMIF(Master_Data[Subject],Master_Data[[#This Row],[Subject]],Master_Data[Imp. Level])</f>
        <v>5.8823529411764705E-2</v>
      </c>
      <c r="AI51" s="157">
        <f>Master_Data[[#This Row],[Subjectwise weights]]*Master_Data[[#This Row],[Confidence Level]]</f>
        <v>0.1764705882352941</v>
      </c>
      <c r="AJ51" s="158" t="str">
        <f>IF(AND(Master_Data[[#This Row],[Inst. EOC Ques.]]="D",Master_Data[[#This Row],[Class Test Book]]="D"),"D","U")</f>
        <v>U</v>
      </c>
      <c r="AK51" s="155" t="str">
        <f>IF(AND(Master_Data[[#This Row],[Inst. Online Portal]]="D",Master_Data[[#This Row],[Prac. Book]]="D",Master_Data[[#This Row],[Schweser Prac. Bk 1]]="D",Master_Data[[#This Row],[Schweser Prac. Bk 2]]="D"),"D","U")</f>
        <v>U</v>
      </c>
      <c r="AL51" s="270" t="str">
        <f>IF(AND(Master_Data[[#This Row],[Lectures]]="D",Master_Data[[#This Row],[Self Study]]="D"),Master_Data[[#This Row],[No. of Chapters]],"U")</f>
        <v>U</v>
      </c>
    </row>
    <row r="52" spans="2:38" ht="27" customHeight="1">
      <c r="B52" s="3">
        <v>44</v>
      </c>
      <c r="C52" s="183" t="str">
        <f ca="1">IF(Master_Data[[#This Row],[Column1]]="Done","",IF(Master_Data[[#This Row],[Column1]]=MIN(Master_Data[Column1]),"Current Week",CONCATENATE("Week ",Master_Data[[#This Row],[Column1]])))</f>
        <v>Week 32</v>
      </c>
      <c r="D52" s="3">
        <f ca="1">IF(Master_Data[[#This Row],[Cum. Undone hrs]]=0,"Done",ROUNDUP(Master_Data[[#This Row],[Cum. Undone hrs]]/Working!$C$8,0))</f>
        <v>32</v>
      </c>
      <c r="E52" s="3">
        <f ca="1">IF(OR(D52=D51,D52=D51+1),Master_Data[[#This Row],[Column1]],D52-1)</f>
        <v>32</v>
      </c>
      <c r="F52" s="150">
        <f>SUM($G$9:G52)</f>
        <v>9.3729166666666632</v>
      </c>
      <c r="G52" s="26">
        <f>IF(Master_Data[[#This Row],[Lectures]]="D","",Master_Data[[#This Row],[Duration (hh:mm)]])</f>
        <v>0.20416666666666669</v>
      </c>
      <c r="H52" s="2" t="s">
        <v>25</v>
      </c>
      <c r="I52" s="2">
        <v>60</v>
      </c>
      <c r="J52" s="2" t="s">
        <v>135</v>
      </c>
      <c r="K52" s="44" t="s">
        <v>217</v>
      </c>
      <c r="L52" s="273">
        <v>1</v>
      </c>
      <c r="M52" s="16">
        <v>3</v>
      </c>
      <c r="N52" s="43">
        <v>4</v>
      </c>
      <c r="O52" s="43">
        <v>2</v>
      </c>
      <c r="P52" s="43">
        <v>3</v>
      </c>
      <c r="Q52" s="43">
        <v>3</v>
      </c>
      <c r="R52" s="43">
        <v>3</v>
      </c>
      <c r="S52" s="43">
        <v>3</v>
      </c>
      <c r="T52" s="11">
        <v>0.20416666666666669</v>
      </c>
      <c r="U52" s="42">
        <f>(SUM($T$9:T52)/$T$4)*100</f>
        <v>66.655143463874779</v>
      </c>
      <c r="V52" s="27" t="s">
        <v>6</v>
      </c>
      <c r="W52" s="27" t="s">
        <v>6</v>
      </c>
      <c r="X52" s="27" t="s">
        <v>6</v>
      </c>
      <c r="Y52" s="27" t="s">
        <v>6</v>
      </c>
      <c r="Z52" s="27" t="s">
        <v>6</v>
      </c>
      <c r="AA52" s="27" t="s">
        <v>6</v>
      </c>
      <c r="AB52" s="27" t="s">
        <v>6</v>
      </c>
      <c r="AC52" s="27" t="s">
        <v>6</v>
      </c>
      <c r="AD52" s="27" t="s">
        <v>6</v>
      </c>
      <c r="AE52" s="159">
        <v>2</v>
      </c>
      <c r="AF52" s="17"/>
      <c r="AG52" s="174">
        <f>R52/SUM($R$9:$R$84)</f>
        <v>1.020408163265306E-2</v>
      </c>
      <c r="AH52" s="175">
        <f>Master_Data[[#This Row],[Imp. Level]]/SUMIF(Master_Data[Subject],Master_Data[[#This Row],[Subject]],Master_Data[Imp. Level])</f>
        <v>5.8823529411764705E-2</v>
      </c>
      <c r="AI52" s="157">
        <f>Master_Data[[#This Row],[Subjectwise weights]]*Master_Data[[#This Row],[Confidence Level]]</f>
        <v>0.11764705882352941</v>
      </c>
      <c r="AJ52" s="158" t="str">
        <f>IF(AND(Master_Data[[#This Row],[Inst. EOC Ques.]]="D",Master_Data[[#This Row],[Class Test Book]]="D"),"D","U")</f>
        <v>U</v>
      </c>
      <c r="AK52" s="155" t="str">
        <f>IF(AND(Master_Data[[#This Row],[Inst. Online Portal]]="D",Master_Data[[#This Row],[Prac. Book]]="D",Master_Data[[#This Row],[Schweser Prac. Bk 1]]="D",Master_Data[[#This Row],[Schweser Prac. Bk 2]]="D"),"D","U")</f>
        <v>U</v>
      </c>
      <c r="AL52" s="270" t="str">
        <f>IF(AND(Master_Data[[#This Row],[Lectures]]="D",Master_Data[[#This Row],[Self Study]]="D"),Master_Data[[#This Row],[No. of Chapters]],"U")</f>
        <v>U</v>
      </c>
    </row>
    <row r="53" spans="2:38" ht="27" customHeight="1">
      <c r="B53" s="3">
        <v>45</v>
      </c>
      <c r="C53" s="183" t="str">
        <f ca="1">IF(Master_Data[[#This Row],[Column1]]="Done","",IF(Master_Data[[#This Row],[Column1]]=MIN(Master_Data[Column1]),"Current Week",CONCATENATE("Week ",Master_Data[[#This Row],[Column1]])))</f>
        <v>Week 33</v>
      </c>
      <c r="D53" s="3">
        <f ca="1">IF(Master_Data[[#This Row],[Cum. Undone hrs]]=0,"Done",ROUNDUP(Master_Data[[#This Row],[Cum. Undone hrs]]/Working!$C$8,0))</f>
        <v>33</v>
      </c>
      <c r="E53" s="3">
        <f ca="1">IF(OR(D53=D52,D53=D52+1),Master_Data[[#This Row],[Column1]],D53-1)</f>
        <v>33</v>
      </c>
      <c r="F53" s="15">
        <f>SUM($G$9:G53)</f>
        <v>9.4159722222222193</v>
      </c>
      <c r="G53" s="26">
        <f>IF(Master_Data[[#This Row],[Lectures]]="D","",Master_Data[[#This Row],[Duration (hh:mm)]])</f>
        <v>4.3055555555555562E-2</v>
      </c>
      <c r="H53" s="2" t="s">
        <v>25</v>
      </c>
      <c r="I53" s="2">
        <v>61</v>
      </c>
      <c r="J53" s="2" t="s">
        <v>135</v>
      </c>
      <c r="K53" s="44" t="s">
        <v>218</v>
      </c>
      <c r="L53" s="273">
        <v>1</v>
      </c>
      <c r="M53" s="16">
        <v>1</v>
      </c>
      <c r="N53" s="43">
        <v>4</v>
      </c>
      <c r="O53" s="43">
        <v>2</v>
      </c>
      <c r="P53" s="43">
        <v>3</v>
      </c>
      <c r="Q53" s="43">
        <v>3</v>
      </c>
      <c r="R53" s="43">
        <v>3</v>
      </c>
      <c r="S53" s="43">
        <v>3</v>
      </c>
      <c r="T53" s="11">
        <v>4.3055555555555562E-2</v>
      </c>
      <c r="U53" s="42">
        <f>(SUM($T$9:T53)/$T$4)*100</f>
        <v>66.961331423774041</v>
      </c>
      <c r="V53" s="27" t="s">
        <v>6</v>
      </c>
      <c r="W53" s="27" t="s">
        <v>6</v>
      </c>
      <c r="X53" s="27" t="s">
        <v>6</v>
      </c>
      <c r="Y53" s="27" t="s">
        <v>6</v>
      </c>
      <c r="Z53" s="27" t="s">
        <v>6</v>
      </c>
      <c r="AA53" s="27" t="s">
        <v>6</v>
      </c>
      <c r="AB53" s="27" t="s">
        <v>6</v>
      </c>
      <c r="AC53" s="27" t="s">
        <v>6</v>
      </c>
      <c r="AD53" s="27" t="s">
        <v>6</v>
      </c>
      <c r="AE53" s="159">
        <v>2</v>
      </c>
      <c r="AF53" s="17"/>
      <c r="AG53" s="174">
        <f>R53/SUM($R$9:$R$72)</f>
        <v>1.2145748987854251E-2</v>
      </c>
      <c r="AH53" s="175">
        <f>Master_Data[[#This Row],[Imp. Level]]/SUMIF(Master_Data[Subject],Master_Data[[#This Row],[Subject]],Master_Data[Imp. Level])</f>
        <v>5.8823529411764705E-2</v>
      </c>
      <c r="AI53" s="157">
        <f>Master_Data[[#This Row],[Subjectwise weights]]*Master_Data[[#This Row],[Confidence Level]]</f>
        <v>0.11764705882352941</v>
      </c>
      <c r="AJ53" s="158" t="str">
        <f>IF(AND(Master_Data[[#This Row],[Inst. EOC Ques.]]="D",Master_Data[[#This Row],[Class Test Book]]="D"),"D","U")</f>
        <v>U</v>
      </c>
      <c r="AK53" s="155" t="str">
        <f>IF(AND(Master_Data[[#This Row],[Inst. Online Portal]]="D",Master_Data[[#This Row],[Prac. Book]]="D",Master_Data[[#This Row],[Schweser Prac. Bk 1]]="D",Master_Data[[#This Row],[Schweser Prac. Bk 2]]="D"),"D","U")</f>
        <v>U</v>
      </c>
      <c r="AL53" s="270" t="str">
        <f>IF(AND(Master_Data[[#This Row],[Lectures]]="D",Master_Data[[#This Row],[Self Study]]="D"),Master_Data[[#This Row],[No. of Chapters]],"U")</f>
        <v>U</v>
      </c>
    </row>
    <row r="54" spans="2:38" ht="27" customHeight="1">
      <c r="B54" s="3">
        <v>46</v>
      </c>
      <c r="C54" s="183" t="str">
        <f ca="1">IF(Master_Data[[#This Row],[Column1]]="Done","",IF(Master_Data[[#This Row],[Column1]]=MIN(Master_Data[Column1]),"Current Week",CONCATENATE("Week ",Master_Data[[#This Row],[Column1]])))</f>
        <v>Week 33</v>
      </c>
      <c r="D54" s="3">
        <f ca="1">IF(Master_Data[[#This Row],[Cum. Undone hrs]]=0,"Done",ROUNDUP(Master_Data[[#This Row],[Cum. Undone hrs]]/Working!$C$8,0))</f>
        <v>33</v>
      </c>
      <c r="E54" s="3">
        <f ca="1">IF(OR(D54=D53,D54=D53+1),Master_Data[[#This Row],[Column1]],D54-1)</f>
        <v>33</v>
      </c>
      <c r="F54" s="15">
        <f>SUM($G$9:G54)</f>
        <v>9.5013888888888864</v>
      </c>
      <c r="G54" s="26">
        <f>IF(Master_Data[[#This Row],[Lectures]]="D","",Master_Data[[#This Row],[Duration (hh:mm)]])</f>
        <v>8.5416666666666655E-2</v>
      </c>
      <c r="H54" s="2" t="s">
        <v>25</v>
      </c>
      <c r="I54" s="2">
        <v>62</v>
      </c>
      <c r="J54" s="2" t="s">
        <v>135</v>
      </c>
      <c r="K54" s="44" t="s">
        <v>219</v>
      </c>
      <c r="L54" s="273">
        <v>1</v>
      </c>
      <c r="M54" s="16">
        <v>3</v>
      </c>
      <c r="N54" s="43">
        <v>4</v>
      </c>
      <c r="O54" s="43">
        <v>2</v>
      </c>
      <c r="P54" s="43">
        <v>3</v>
      </c>
      <c r="Q54" s="43">
        <v>3</v>
      </c>
      <c r="R54" s="43">
        <v>3</v>
      </c>
      <c r="S54" s="43">
        <v>3</v>
      </c>
      <c r="T54" s="11">
        <v>8.5416666666666655E-2</v>
      </c>
      <c r="U54" s="42">
        <f>(SUM($T$9:T54)/$T$4)*100</f>
        <v>67.568768828090313</v>
      </c>
      <c r="V54" s="27" t="s">
        <v>6</v>
      </c>
      <c r="W54" s="27" t="s">
        <v>6</v>
      </c>
      <c r="X54" s="27" t="s">
        <v>6</v>
      </c>
      <c r="Y54" s="27" t="s">
        <v>6</v>
      </c>
      <c r="Z54" s="27" t="s">
        <v>6</v>
      </c>
      <c r="AA54" s="27" t="s">
        <v>6</v>
      </c>
      <c r="AB54" s="27" t="s">
        <v>6</v>
      </c>
      <c r="AC54" s="27" t="s">
        <v>6</v>
      </c>
      <c r="AD54" s="27" t="s">
        <v>6</v>
      </c>
      <c r="AE54" s="159">
        <v>3</v>
      </c>
      <c r="AF54" s="17"/>
      <c r="AG54" s="174">
        <f>R54/SUM($R$9:$R$72)</f>
        <v>1.2145748987854251E-2</v>
      </c>
      <c r="AH54" s="175">
        <f>Master_Data[[#This Row],[Imp. Level]]/SUMIF(Master_Data[Subject],Master_Data[[#This Row],[Subject]],Master_Data[Imp. Level])</f>
        <v>5.8823529411764705E-2</v>
      </c>
      <c r="AI54" s="157">
        <f>Master_Data[[#This Row],[Subjectwise weights]]*Master_Data[[#This Row],[Confidence Level]]</f>
        <v>0.1764705882352941</v>
      </c>
      <c r="AJ54" s="158" t="str">
        <f>IF(AND(Master_Data[[#This Row],[Inst. EOC Ques.]]="D",Master_Data[[#This Row],[Class Test Book]]="D"),"D","U")</f>
        <v>U</v>
      </c>
      <c r="AK54" s="155" t="str">
        <f>IF(AND(Master_Data[[#This Row],[Inst. Online Portal]]="D",Master_Data[[#This Row],[Prac. Book]]="D",Master_Data[[#This Row],[Schweser Prac. Bk 1]]="D",Master_Data[[#This Row],[Schweser Prac. Bk 2]]="D"),"D","U")</f>
        <v>U</v>
      </c>
      <c r="AL54" s="270" t="str">
        <f>IF(AND(Master_Data[[#This Row],[Lectures]]="D",Master_Data[[#This Row],[Self Study]]="D"),Master_Data[[#This Row],[No. of Chapters]],"U")</f>
        <v>U</v>
      </c>
    </row>
    <row r="55" spans="2:38" ht="27" customHeight="1">
      <c r="B55" s="3">
        <v>47</v>
      </c>
      <c r="C55" s="183" t="str">
        <f ca="1">IF(Master_Data[[#This Row],[Column1]]="Done","",IF(Master_Data[[#This Row],[Column1]]=MIN(Master_Data[Column1]),"Current Week",CONCATENATE("Week ",Master_Data[[#This Row],[Column1]])))</f>
        <v>Week 36</v>
      </c>
      <c r="D55" s="3">
        <f ca="1">IF(Master_Data[[#This Row],[Cum. Undone hrs]]=0,"Done",ROUNDUP(Master_Data[[#This Row],[Cum. Undone hrs]]/Working!$C$8,0))</f>
        <v>36</v>
      </c>
      <c r="E55" s="3">
        <f ca="1">IF(OR(D55=D54,D55=D54+1),Master_Data[[#This Row],[Column1]],D55-1)</f>
        <v>35</v>
      </c>
      <c r="F55" s="150">
        <f>SUM($G$9:G61)</f>
        <v>10.292361111111106</v>
      </c>
      <c r="G55" s="26">
        <f>IF(Master_Data[[#This Row],[Lectures]]="D","",Master_Data[[#This Row],[Duration (hh:mm)]])</f>
        <v>9.5138888888888884E-2</v>
      </c>
      <c r="H55" s="2" t="s">
        <v>25</v>
      </c>
      <c r="I55" s="2">
        <v>64</v>
      </c>
      <c r="J55" s="2" t="s">
        <v>135</v>
      </c>
      <c r="K55" s="44" t="s">
        <v>273</v>
      </c>
      <c r="L55" s="273">
        <v>1</v>
      </c>
      <c r="M55" s="16">
        <v>4</v>
      </c>
      <c r="N55" s="43">
        <v>5</v>
      </c>
      <c r="O55" s="43">
        <v>2</v>
      </c>
      <c r="P55" s="43">
        <v>5</v>
      </c>
      <c r="Q55" s="43">
        <v>5</v>
      </c>
      <c r="R55" s="43">
        <v>4</v>
      </c>
      <c r="S55" s="43">
        <v>5</v>
      </c>
      <c r="T55" s="11">
        <v>9.5138888888888884E-2</v>
      </c>
      <c r="U55" s="42">
        <f>(SUM($T$9:T55)/$T$4)*100</f>
        <v>68.245345449157995</v>
      </c>
      <c r="V55" s="27" t="s">
        <v>6</v>
      </c>
      <c r="W55" s="27" t="s">
        <v>6</v>
      </c>
      <c r="X55" s="27" t="s">
        <v>6</v>
      </c>
      <c r="Y55" s="27" t="s">
        <v>6</v>
      </c>
      <c r="Z55" s="27" t="s">
        <v>6</v>
      </c>
      <c r="AA55" s="27" t="s">
        <v>6</v>
      </c>
      <c r="AB55" s="27" t="s">
        <v>6</v>
      </c>
      <c r="AC55" s="27" t="s">
        <v>6</v>
      </c>
      <c r="AD55" s="27" t="s">
        <v>6</v>
      </c>
      <c r="AE55" s="159">
        <v>3</v>
      </c>
      <c r="AF55" s="17"/>
      <c r="AG55" s="174">
        <f>R55/SUM($R$9:$R$84)</f>
        <v>1.3605442176870748E-2</v>
      </c>
      <c r="AH55" s="175">
        <f>Master_Data[[#This Row],[Imp. Level]]/SUMIF(Master_Data[Subject],Master_Data[[#This Row],[Subject]],Master_Data[Imp. Level])</f>
        <v>7.8431372549019607E-2</v>
      </c>
      <c r="AI55" s="157">
        <f>Master_Data[[#This Row],[Subjectwise weights]]*Master_Data[[#This Row],[Confidence Level]]</f>
        <v>0.23529411764705882</v>
      </c>
      <c r="AJ55" s="158" t="str">
        <f>IF(AND(Master_Data[[#This Row],[Inst. EOC Ques.]]="D",Master_Data[[#This Row],[Class Test Book]]="D"),"D","U")</f>
        <v>U</v>
      </c>
      <c r="AK55" s="155" t="str">
        <f>IF(AND(Master_Data[[#This Row],[Inst. Online Portal]]="D",Master_Data[[#This Row],[Prac. Book]]="D",Master_Data[[#This Row],[Schweser Prac. Bk 1]]="D",Master_Data[[#This Row],[Schweser Prac. Bk 2]]="D"),"D","U")</f>
        <v>U</v>
      </c>
      <c r="AL55" s="270" t="str">
        <f>IF(AND(Master_Data[[#This Row],[Lectures]]="D",Master_Data[[#This Row],[Self Study]]="D"),Master_Data[[#This Row],[No. of Chapters]],"U")</f>
        <v>U</v>
      </c>
    </row>
    <row r="56" spans="2:38" ht="27" customHeight="1">
      <c r="B56" s="3">
        <v>48</v>
      </c>
      <c r="C56" s="183" t="str">
        <f ca="1">IF(Master_Data[[#This Row],[Column1]]="Done","",IF(Master_Data[[#This Row],[Column1]]=MIN(Master_Data[Column1]),"Current Week",CONCATENATE("Week ",Master_Data[[#This Row],[Column1]])))</f>
        <v>Week 34</v>
      </c>
      <c r="D56" s="3">
        <f ca="1">IF(Master_Data[[#This Row],[Cum. Undone hrs]]=0,"Done",ROUNDUP(Master_Data[[#This Row],[Cum. Undone hrs]]/Working!$C$8,0))</f>
        <v>34</v>
      </c>
      <c r="E56" s="3">
        <f ca="1">IF(OR(D56=D55,D56=D55+1),Master_Data[[#This Row],[Column1]],D56-1)</f>
        <v>33</v>
      </c>
      <c r="F56" s="15">
        <f>SUM($G$9:G56)</f>
        <v>9.7555555555555529</v>
      </c>
      <c r="G56" s="26">
        <f>IF(Master_Data[[#This Row],[Lectures]]="D","",Master_Data[[#This Row],[Duration (hh:mm)]])</f>
        <v>0.15902777777777777</v>
      </c>
      <c r="H56" s="2" t="s">
        <v>25</v>
      </c>
      <c r="I56" s="2">
        <v>48</v>
      </c>
      <c r="J56" s="2" t="s">
        <v>135</v>
      </c>
      <c r="K56" s="44" t="s">
        <v>213</v>
      </c>
      <c r="L56" s="273">
        <v>1</v>
      </c>
      <c r="M56" s="16">
        <v>2</v>
      </c>
      <c r="N56" s="43">
        <v>3</v>
      </c>
      <c r="O56" s="43">
        <v>1</v>
      </c>
      <c r="P56" s="43">
        <v>3</v>
      </c>
      <c r="Q56" s="43">
        <v>3</v>
      </c>
      <c r="R56" s="43">
        <v>3</v>
      </c>
      <c r="S56" s="43">
        <v>3</v>
      </c>
      <c r="T56" s="12">
        <v>0.15902777777777777</v>
      </c>
      <c r="U56" s="42">
        <f>(SUM($T$9:T56)/$T$4)*100</f>
        <v>69.376265494592346</v>
      </c>
      <c r="V56" s="27" t="s">
        <v>6</v>
      </c>
      <c r="W56" s="27" t="s">
        <v>6</v>
      </c>
      <c r="X56" s="27" t="s">
        <v>6</v>
      </c>
      <c r="Y56" s="27" t="s">
        <v>6</v>
      </c>
      <c r="Z56" s="27" t="s">
        <v>6</v>
      </c>
      <c r="AA56" s="27" t="s">
        <v>6</v>
      </c>
      <c r="AB56" s="27" t="s">
        <v>6</v>
      </c>
      <c r="AC56" s="27" t="s">
        <v>6</v>
      </c>
      <c r="AD56" s="27" t="s">
        <v>6</v>
      </c>
      <c r="AE56" s="159">
        <v>3</v>
      </c>
      <c r="AF56" s="17"/>
      <c r="AG56" s="174">
        <f>R56/SUM($R$9:$R$72)</f>
        <v>1.2145748987854251E-2</v>
      </c>
      <c r="AH56" s="175">
        <f>Master_Data[[#This Row],[Imp. Level]]/SUMIF(Master_Data[Subject],Master_Data[[#This Row],[Subject]],Master_Data[Imp. Level])</f>
        <v>5.8823529411764705E-2</v>
      </c>
      <c r="AI56" s="157">
        <f>Master_Data[[#This Row],[Subjectwise weights]]*Master_Data[[#This Row],[Confidence Level]]</f>
        <v>0.1764705882352941</v>
      </c>
      <c r="AJ56" s="158" t="str">
        <f>IF(AND(Master_Data[[#This Row],[Inst. EOC Ques.]]="D",Master_Data[[#This Row],[Class Test Book]]="D"),"D","U")</f>
        <v>U</v>
      </c>
      <c r="AK56" s="155" t="str">
        <f>IF(AND(Master_Data[[#This Row],[Inst. Online Portal]]="D",Master_Data[[#This Row],[Prac. Book]]="D",Master_Data[[#This Row],[Schweser Prac. Bk 1]]="D",Master_Data[[#This Row],[Schweser Prac. Bk 2]]="D"),"D","U")</f>
        <v>U</v>
      </c>
      <c r="AL56" s="270" t="str">
        <f>IF(AND(Master_Data[[#This Row],[Lectures]]="D",Master_Data[[#This Row],[Self Study]]="D"),Master_Data[[#This Row],[No. of Chapters]],"U")</f>
        <v>U</v>
      </c>
    </row>
    <row r="57" spans="2:38" ht="27" customHeight="1">
      <c r="B57" s="3">
        <v>49</v>
      </c>
      <c r="C57" s="183" t="str">
        <f ca="1">IF(Master_Data[[#This Row],[Column1]]="Done","",IF(Master_Data[[#This Row],[Column1]]=MIN(Master_Data[Column1]),"Current Week",CONCATENATE("Week ",Master_Data[[#This Row],[Column1]])))</f>
        <v>Week 34</v>
      </c>
      <c r="D57" s="3">
        <f ca="1">IF(Master_Data[[#This Row],[Cum. Undone hrs]]=0,"Done",ROUNDUP(Master_Data[[#This Row],[Cum. Undone hrs]]/Working!$C$8,0))</f>
        <v>34</v>
      </c>
      <c r="E57" s="3">
        <f ca="1">IF(OR(D57=D56,D57=D56+1),Master_Data[[#This Row],[Column1]],D57-1)</f>
        <v>34</v>
      </c>
      <c r="F57" s="15">
        <f>SUM($G$9:G57)</f>
        <v>9.8305555555555522</v>
      </c>
      <c r="G57" s="26">
        <f>IF(Master_Data[[#This Row],[Lectures]]="D","",Master_Data[[#This Row],[Duration (hh:mm)]])</f>
        <v>7.4999999999999997E-2</v>
      </c>
      <c r="H57" s="2" t="s">
        <v>25</v>
      </c>
      <c r="I57" s="2">
        <v>49</v>
      </c>
      <c r="J57" s="2" t="s">
        <v>135</v>
      </c>
      <c r="K57" s="44" t="s">
        <v>214</v>
      </c>
      <c r="L57" s="273">
        <v>1</v>
      </c>
      <c r="M57" s="16">
        <v>3</v>
      </c>
      <c r="N57" s="43">
        <v>2</v>
      </c>
      <c r="O57" s="43">
        <v>1</v>
      </c>
      <c r="P57" s="43">
        <v>3</v>
      </c>
      <c r="Q57" s="43">
        <v>3</v>
      </c>
      <c r="R57" s="43">
        <v>3</v>
      </c>
      <c r="S57" s="43">
        <v>3</v>
      </c>
      <c r="T57" s="12">
        <v>7.4999999999999997E-2</v>
      </c>
      <c r="U57" s="42">
        <f>(SUM($T$9:T57)/$T$4)*100</f>
        <v>69.909625166674914</v>
      </c>
      <c r="V57" s="27" t="s">
        <v>6</v>
      </c>
      <c r="W57" s="27" t="s">
        <v>6</v>
      </c>
      <c r="X57" s="27" t="s">
        <v>6</v>
      </c>
      <c r="Y57" s="27" t="s">
        <v>6</v>
      </c>
      <c r="Z57" s="27" t="s">
        <v>6</v>
      </c>
      <c r="AA57" s="27" t="s">
        <v>6</v>
      </c>
      <c r="AB57" s="27" t="s">
        <v>6</v>
      </c>
      <c r="AC57" s="27" t="s">
        <v>6</v>
      </c>
      <c r="AD57" s="27" t="s">
        <v>6</v>
      </c>
      <c r="AE57" s="159">
        <v>3</v>
      </c>
      <c r="AF57" s="17"/>
      <c r="AG57" s="174">
        <f>R57/SUM($R$9:$R$72)</f>
        <v>1.2145748987854251E-2</v>
      </c>
      <c r="AH57" s="175">
        <f>Master_Data[[#This Row],[Imp. Level]]/SUMIF(Master_Data[Subject],Master_Data[[#This Row],[Subject]],Master_Data[Imp. Level])</f>
        <v>5.8823529411764705E-2</v>
      </c>
      <c r="AI57" s="157">
        <f>Master_Data[[#This Row],[Subjectwise weights]]*Master_Data[[#This Row],[Confidence Level]]</f>
        <v>0.1764705882352941</v>
      </c>
      <c r="AJ57" s="158" t="str">
        <f>IF(AND(Master_Data[[#This Row],[Inst. EOC Ques.]]="D",Master_Data[[#This Row],[Class Test Book]]="D"),"D","U")</f>
        <v>U</v>
      </c>
      <c r="AK57" s="155" t="str">
        <f>IF(AND(Master_Data[[#This Row],[Inst. Online Portal]]="D",Master_Data[[#This Row],[Prac. Book]]="D",Master_Data[[#This Row],[Schweser Prac. Bk 1]]="D",Master_Data[[#This Row],[Schweser Prac. Bk 2]]="D"),"D","U")</f>
        <v>U</v>
      </c>
      <c r="AL57" s="270" t="str">
        <f>IF(AND(Master_Data[[#This Row],[Lectures]]="D",Master_Data[[#This Row],[Self Study]]="D"),Master_Data[[#This Row],[No. of Chapters]],"U")</f>
        <v>U</v>
      </c>
    </row>
    <row r="58" spans="2:38" ht="27" customHeight="1">
      <c r="B58" s="3">
        <v>50</v>
      </c>
      <c r="C58" s="183" t="str">
        <f ca="1">IF(Master_Data[[#This Row],[Column1]]="Done","",IF(Master_Data[[#This Row],[Column1]]=MIN(Master_Data[Column1]),"Current Week",CONCATENATE("Week ",Master_Data[[#This Row],[Column1]])))</f>
        <v>Week 34</v>
      </c>
      <c r="D58" s="3">
        <f ca="1">IF(Master_Data[[#This Row],[Cum. Undone hrs]]=0,"Done",ROUNDUP(Master_Data[[#This Row],[Cum. Undone hrs]]/Working!$C$8,0))</f>
        <v>34</v>
      </c>
      <c r="E58" s="3">
        <f ca="1">IF(OR(D58=D57,D58=D57+1),Master_Data[[#This Row],[Column1]],D58-1)</f>
        <v>34</v>
      </c>
      <c r="F58" s="15">
        <f>SUM($G$9:G58)</f>
        <v>9.9479166666666625</v>
      </c>
      <c r="G58" s="26">
        <f>IF(Master_Data[[#This Row],[Lectures]]="D","",Master_Data[[#This Row],[Duration (hh:mm)]])</f>
        <v>0.1173611111111111</v>
      </c>
      <c r="H58" s="2" t="s">
        <v>25</v>
      </c>
      <c r="I58" s="2">
        <v>50</v>
      </c>
      <c r="J58" s="2" t="s">
        <v>135</v>
      </c>
      <c r="K58" s="44" t="s">
        <v>215</v>
      </c>
      <c r="L58" s="273">
        <v>1</v>
      </c>
      <c r="M58" s="16">
        <v>3</v>
      </c>
      <c r="N58" s="43">
        <v>2</v>
      </c>
      <c r="O58" s="43">
        <v>1</v>
      </c>
      <c r="P58" s="43">
        <v>3</v>
      </c>
      <c r="Q58" s="43">
        <v>3</v>
      </c>
      <c r="R58" s="43">
        <v>3</v>
      </c>
      <c r="S58" s="43">
        <v>3</v>
      </c>
      <c r="T58" s="12">
        <v>0.1173611111111111</v>
      </c>
      <c r="U58" s="42">
        <f>(SUM($T$9:T58)/$T$4)*100</f>
        <v>70.744234283174507</v>
      </c>
      <c r="V58" s="27" t="s">
        <v>6</v>
      </c>
      <c r="W58" s="27" t="s">
        <v>6</v>
      </c>
      <c r="X58" s="27" t="s">
        <v>6</v>
      </c>
      <c r="Y58" s="27" t="s">
        <v>6</v>
      </c>
      <c r="Z58" s="27" t="s">
        <v>6</v>
      </c>
      <c r="AA58" s="27" t="s">
        <v>6</v>
      </c>
      <c r="AB58" s="27" t="s">
        <v>6</v>
      </c>
      <c r="AC58" s="27" t="s">
        <v>6</v>
      </c>
      <c r="AD58" s="27" t="s">
        <v>6</v>
      </c>
      <c r="AE58" s="159">
        <v>3</v>
      </c>
      <c r="AF58" s="17"/>
      <c r="AG58" s="174">
        <f>R58/SUM($R$9:$R$72)</f>
        <v>1.2145748987854251E-2</v>
      </c>
      <c r="AH58" s="175">
        <f>Master_Data[[#This Row],[Imp. Level]]/SUMIF(Master_Data[Subject],Master_Data[[#This Row],[Subject]],Master_Data[Imp. Level])</f>
        <v>5.8823529411764705E-2</v>
      </c>
      <c r="AI58" s="157">
        <f>Master_Data[[#This Row],[Subjectwise weights]]*Master_Data[[#This Row],[Confidence Level]]</f>
        <v>0.1764705882352941</v>
      </c>
      <c r="AJ58" s="158" t="str">
        <f>IF(AND(Master_Data[[#This Row],[Inst. EOC Ques.]]="D",Master_Data[[#This Row],[Class Test Book]]="D"),"D","U")</f>
        <v>U</v>
      </c>
      <c r="AK58" s="155" t="str">
        <f>IF(AND(Master_Data[[#This Row],[Inst. Online Portal]]="D",Master_Data[[#This Row],[Prac. Book]]="D",Master_Data[[#This Row],[Schweser Prac. Bk 1]]="D",Master_Data[[#This Row],[Schweser Prac. Bk 2]]="D"),"D","U")</f>
        <v>U</v>
      </c>
      <c r="AL58" s="270" t="str">
        <f>IF(AND(Master_Data[[#This Row],[Lectures]]="D",Master_Data[[#This Row],[Self Study]]="D"),Master_Data[[#This Row],[No. of Chapters]],"U")</f>
        <v>U</v>
      </c>
    </row>
    <row r="59" spans="2:38" ht="27" customHeight="1">
      <c r="B59" s="3">
        <v>51</v>
      </c>
      <c r="C59" s="183" t="str">
        <f ca="1">IF(Master_Data[[#This Row],[Column1]]="Done","",IF(Master_Data[[#This Row],[Column1]]=MIN(Master_Data[Column1]),"Current Week",CONCATENATE("Week ",Master_Data[[#This Row],[Column1]])))</f>
        <v>Week 35</v>
      </c>
      <c r="D59" s="3">
        <f ca="1">IF(Master_Data[[#This Row],[Cum. Undone hrs]]=0,"Done",ROUNDUP(Master_Data[[#This Row],[Cum. Undone hrs]]/Working!$C$8,0))</f>
        <v>35</v>
      </c>
      <c r="E59" s="3">
        <f ca="1">IF(OR(D59=D58,D59=D58+1),Master_Data[[#This Row],[Column1]],D59-1)</f>
        <v>35</v>
      </c>
      <c r="F59" s="150">
        <f>SUM($G$9:G59)</f>
        <v>10.054166666666662</v>
      </c>
      <c r="G59" s="26">
        <f>IF(Master_Data[[#This Row],[Lectures]]="D","",Master_Data[[#This Row],[Duration (hh:mm)]])</f>
        <v>0.10625</v>
      </c>
      <c r="H59" s="2" t="s">
        <v>25</v>
      </c>
      <c r="I59" s="2">
        <v>51</v>
      </c>
      <c r="J59" s="2" t="s">
        <v>135</v>
      </c>
      <c r="K59" s="44" t="s">
        <v>216</v>
      </c>
      <c r="L59" s="273">
        <v>1</v>
      </c>
      <c r="M59" s="16">
        <v>2</v>
      </c>
      <c r="N59" s="43">
        <v>2</v>
      </c>
      <c r="O59" s="43">
        <v>1</v>
      </c>
      <c r="P59" s="43">
        <v>3</v>
      </c>
      <c r="Q59" s="43">
        <v>3</v>
      </c>
      <c r="R59" s="43">
        <v>3</v>
      </c>
      <c r="S59" s="43">
        <v>3</v>
      </c>
      <c r="T59" s="11">
        <v>0.10625</v>
      </c>
      <c r="U59" s="42">
        <f>(SUM($T$9:T59)/$T$4)*100</f>
        <v>71.499827151958144</v>
      </c>
      <c r="V59" s="27" t="s">
        <v>6</v>
      </c>
      <c r="W59" s="27" t="s">
        <v>6</v>
      </c>
      <c r="X59" s="27" t="s">
        <v>6</v>
      </c>
      <c r="Y59" s="27" t="s">
        <v>6</v>
      </c>
      <c r="Z59" s="27" t="s">
        <v>6</v>
      </c>
      <c r="AA59" s="27" t="s">
        <v>6</v>
      </c>
      <c r="AB59" s="27" t="s">
        <v>6</v>
      </c>
      <c r="AC59" s="27" t="s">
        <v>6</v>
      </c>
      <c r="AD59" s="27" t="s">
        <v>6</v>
      </c>
      <c r="AE59" s="159">
        <v>2</v>
      </c>
      <c r="AF59" s="17"/>
      <c r="AG59" s="174">
        <f>R59/SUM($R$9:$R$84)</f>
        <v>1.020408163265306E-2</v>
      </c>
      <c r="AH59" s="175">
        <f>Master_Data[[#This Row],[Imp. Level]]/SUMIF(Master_Data[Subject],Master_Data[[#This Row],[Subject]],Master_Data[Imp. Level])</f>
        <v>5.8823529411764705E-2</v>
      </c>
      <c r="AI59" s="157">
        <f>Master_Data[[#This Row],[Subjectwise weights]]*Master_Data[[#This Row],[Confidence Level]]</f>
        <v>0.11764705882352941</v>
      </c>
      <c r="AJ59" s="158" t="str">
        <f>IF(AND(Master_Data[[#This Row],[Inst. EOC Ques.]]="D",Master_Data[[#This Row],[Class Test Book]]="D"),"D","U")</f>
        <v>U</v>
      </c>
      <c r="AK59" s="155" t="str">
        <f>IF(AND(Master_Data[[#This Row],[Inst. Online Portal]]="D",Master_Data[[#This Row],[Prac. Book]]="D",Master_Data[[#This Row],[Schweser Prac. Bk 1]]="D",Master_Data[[#This Row],[Schweser Prac. Bk 2]]="D"),"D","U")</f>
        <v>U</v>
      </c>
      <c r="AL59" s="270" t="str">
        <f>IF(AND(Master_Data[[#This Row],[Lectures]]="D",Master_Data[[#This Row],[Self Study]]="D"),Master_Data[[#This Row],[No. of Chapters]],"U")</f>
        <v>U</v>
      </c>
    </row>
    <row r="60" spans="2:38" ht="27" customHeight="1">
      <c r="B60" s="3">
        <v>52</v>
      </c>
      <c r="C60" s="183" t="str">
        <f ca="1">IF(Master_Data[[#This Row],[Column1]]="Done","",IF(Master_Data[[#This Row],[Column1]]=MIN(Master_Data[Column1]),"Current Week",CONCATENATE("Week ",Master_Data[[#This Row],[Column1]])))</f>
        <v>Week 35</v>
      </c>
      <c r="D60" s="3">
        <f ca="1">IF(Master_Data[[#This Row],[Cum. Undone hrs]]=0,"Done",ROUNDUP(Master_Data[[#This Row],[Cum. Undone hrs]]/Working!$C$8,0))</f>
        <v>35</v>
      </c>
      <c r="E60" s="3">
        <f ca="1">IF(OR(D60=D59,D60=D59+1),Master_Data[[#This Row],[Column1]],D60-1)</f>
        <v>35</v>
      </c>
      <c r="F60" s="150">
        <f>SUM($G$9:G60)</f>
        <v>10.15694444444444</v>
      </c>
      <c r="G60" s="26">
        <f>IF(Master_Data[[#This Row],[Lectures]]="D","",Master_Data[[#This Row],[Duration (hh:mm)]])</f>
        <v>0.10277777777777779</v>
      </c>
      <c r="H60" s="2" t="s">
        <v>25</v>
      </c>
      <c r="I60" s="2">
        <v>63</v>
      </c>
      <c r="J60" s="2" t="s">
        <v>135</v>
      </c>
      <c r="K60" s="44" t="s">
        <v>272</v>
      </c>
      <c r="L60" s="273">
        <v>1</v>
      </c>
      <c r="M60" s="16">
        <v>2</v>
      </c>
      <c r="N60" s="43">
        <v>5</v>
      </c>
      <c r="O60" s="43">
        <v>2</v>
      </c>
      <c r="P60" s="43">
        <v>5</v>
      </c>
      <c r="Q60" s="43">
        <v>5</v>
      </c>
      <c r="R60" s="43">
        <v>4</v>
      </c>
      <c r="S60" s="43">
        <v>5</v>
      </c>
      <c r="T60" s="11">
        <v>0.10277777777777779</v>
      </c>
      <c r="U60" s="42">
        <f>(SUM($T$9:T60)/$T$4)*100</f>
        <v>72.230727443330551</v>
      </c>
      <c r="V60" s="27" t="s">
        <v>6</v>
      </c>
      <c r="W60" s="27" t="s">
        <v>6</v>
      </c>
      <c r="X60" s="27" t="s">
        <v>6</v>
      </c>
      <c r="Y60" s="27" t="s">
        <v>6</v>
      </c>
      <c r="Z60" s="27" t="s">
        <v>6</v>
      </c>
      <c r="AA60" s="27" t="s">
        <v>6</v>
      </c>
      <c r="AB60" s="27" t="s">
        <v>6</v>
      </c>
      <c r="AC60" s="27" t="s">
        <v>6</v>
      </c>
      <c r="AD60" s="27" t="s">
        <v>6</v>
      </c>
      <c r="AE60" s="159">
        <v>2</v>
      </c>
      <c r="AF60" s="17"/>
      <c r="AG60" s="174">
        <f>R60/SUM($R$9:$R$84)</f>
        <v>1.3605442176870748E-2</v>
      </c>
      <c r="AH60" s="175">
        <f>Master_Data[[#This Row],[Imp. Level]]/SUMIF(Master_Data[Subject],Master_Data[[#This Row],[Subject]],Master_Data[Imp. Level])</f>
        <v>7.8431372549019607E-2</v>
      </c>
      <c r="AI60" s="157">
        <f>Master_Data[[#This Row],[Subjectwise weights]]*Master_Data[[#This Row],[Confidence Level]]</f>
        <v>0.15686274509803921</v>
      </c>
      <c r="AJ60" s="158" t="str">
        <f>IF(AND(Master_Data[[#This Row],[Inst. EOC Ques.]]="D",Master_Data[[#This Row],[Class Test Book]]="D"),"D","U")</f>
        <v>U</v>
      </c>
      <c r="AK60" s="155" t="str">
        <f>IF(AND(Master_Data[[#This Row],[Inst. Online Portal]]="D",Master_Data[[#This Row],[Prac. Book]]="D",Master_Data[[#This Row],[Schweser Prac. Bk 1]]="D",Master_Data[[#This Row],[Schweser Prac. Bk 2]]="D"),"D","U")</f>
        <v>U</v>
      </c>
      <c r="AL60" s="270" t="str">
        <f>IF(AND(Master_Data[[#This Row],[Lectures]]="D",Master_Data[[#This Row],[Self Study]]="D"),Master_Data[[#This Row],[No. of Chapters]],"U")</f>
        <v>U</v>
      </c>
    </row>
    <row r="61" spans="2:38" ht="27" customHeight="1">
      <c r="B61" s="3">
        <v>53</v>
      </c>
      <c r="C61" s="183" t="str">
        <f ca="1">IF(Master_Data[[#This Row],[Column1]]="Done","",IF(Master_Data[[#This Row],[Column1]]=MIN(Master_Data[Column1]),"Current Week",CONCATENATE("Week ",Master_Data[[#This Row],[Column1]])))</f>
        <v>Week 36</v>
      </c>
      <c r="D61" s="3">
        <f ca="1">IF(Master_Data[[#This Row],[Cum. Undone hrs]]=0,"Done",ROUNDUP(Master_Data[[#This Row],[Cum. Undone hrs]]/Working!$C$8,0))</f>
        <v>36</v>
      </c>
      <c r="E61" s="3">
        <f ca="1">IF(OR(D61=D60,D61=D60+1),Master_Data[[#This Row],[Column1]],D61-1)</f>
        <v>36</v>
      </c>
      <c r="F61" s="150">
        <f>SUM($G$9:G61)</f>
        <v>10.292361111111106</v>
      </c>
      <c r="G61" s="26">
        <f>IF(Master_Data[[#This Row],[Lectures]]="D","",Master_Data[[#This Row],[Duration (hh:mm)]])</f>
        <v>0.13541666666666666</v>
      </c>
      <c r="H61" s="2" t="s">
        <v>25</v>
      </c>
      <c r="I61" s="2">
        <v>65</v>
      </c>
      <c r="J61" s="2" t="s">
        <v>135</v>
      </c>
      <c r="K61" s="44" t="s">
        <v>274</v>
      </c>
      <c r="L61" s="273">
        <v>1</v>
      </c>
      <c r="M61" s="16">
        <v>4</v>
      </c>
      <c r="N61" s="43">
        <v>5</v>
      </c>
      <c r="O61" s="43">
        <v>2</v>
      </c>
      <c r="P61" s="43">
        <v>5</v>
      </c>
      <c r="Q61" s="43">
        <v>5</v>
      </c>
      <c r="R61" s="43">
        <v>4</v>
      </c>
      <c r="S61" s="43">
        <v>5</v>
      </c>
      <c r="T61" s="11">
        <v>0.13541666666666666</v>
      </c>
      <c r="U61" s="42">
        <f>(SUM($T$9:T61)/$T$4)*100</f>
        <v>73.193737962368516</v>
      </c>
      <c r="V61" s="27" t="s">
        <v>6</v>
      </c>
      <c r="W61" s="27" t="s">
        <v>6</v>
      </c>
      <c r="X61" s="27" t="s">
        <v>6</v>
      </c>
      <c r="Y61" s="27" t="s">
        <v>6</v>
      </c>
      <c r="Z61" s="27" t="s">
        <v>6</v>
      </c>
      <c r="AA61" s="27" t="s">
        <v>6</v>
      </c>
      <c r="AB61" s="27" t="s">
        <v>6</v>
      </c>
      <c r="AC61" s="27" t="s">
        <v>6</v>
      </c>
      <c r="AD61" s="27" t="s">
        <v>6</v>
      </c>
      <c r="AE61" s="159">
        <v>2</v>
      </c>
      <c r="AF61" s="17"/>
      <c r="AG61" s="174">
        <f>R61/SUM($R$9:$R$84)</f>
        <v>1.3605442176870748E-2</v>
      </c>
      <c r="AH61" s="175">
        <f>Master_Data[[#This Row],[Imp. Level]]/SUMIF(Master_Data[Subject],Master_Data[[#This Row],[Subject]],Master_Data[Imp. Level])</f>
        <v>7.8431372549019607E-2</v>
      </c>
      <c r="AI61" s="157">
        <f>Master_Data[[#This Row],[Subjectwise weights]]*Master_Data[[#This Row],[Confidence Level]]</f>
        <v>0.15686274509803921</v>
      </c>
      <c r="AJ61" s="158" t="str">
        <f>IF(AND(Master_Data[[#This Row],[Inst. EOC Ques.]]="D",Master_Data[[#This Row],[Class Test Book]]="D"),"D","U")</f>
        <v>U</v>
      </c>
      <c r="AK61" s="155" t="str">
        <f>IF(AND(Master_Data[[#This Row],[Inst. Online Portal]]="D",Master_Data[[#This Row],[Prac. Book]]="D",Master_Data[[#This Row],[Schweser Prac. Bk 1]]="D",Master_Data[[#This Row],[Schweser Prac. Bk 2]]="D"),"D","U")</f>
        <v>U</v>
      </c>
      <c r="AL61" s="270" t="str">
        <f>IF(AND(Master_Data[[#This Row],[Lectures]]="D",Master_Data[[#This Row],[Self Study]]="D"),Master_Data[[#This Row],[No. of Chapters]],"U")</f>
        <v>U</v>
      </c>
    </row>
    <row r="62" spans="2:38" ht="27" customHeight="1">
      <c r="B62" s="3">
        <v>54</v>
      </c>
      <c r="C62" s="183" t="str">
        <f ca="1">IF(Master_Data[[#This Row],[Column1]]="Done","",IF(Master_Data[[#This Row],[Column1]]=MIN(Master_Data[Column1]),"Current Week",CONCATENATE("Week ",Master_Data[[#This Row],[Column1]])))</f>
        <v>Week 36</v>
      </c>
      <c r="D62" s="3">
        <f ca="1">IF(Master_Data[[#This Row],[Cum. Undone hrs]]=0,"Done",ROUNDUP(Master_Data[[#This Row],[Cum. Undone hrs]]/Working!$C$8,0))</f>
        <v>36</v>
      </c>
      <c r="E62" s="3">
        <f ca="1">IF(OR(D62=D59,D62=D59+1),Master_Data[[#This Row],[Column1]],D62-1)</f>
        <v>36</v>
      </c>
      <c r="F62" s="15">
        <f>SUM($G$9:G62)</f>
        <v>10.372916666666661</v>
      </c>
      <c r="G62" s="26">
        <f>IF(Master_Data[[#This Row],[Lectures]]="D","",Master_Data[[#This Row],[Duration (hh:mm)]])</f>
        <v>8.0555555555555561E-2</v>
      </c>
      <c r="H62" s="2" t="s">
        <v>14</v>
      </c>
      <c r="I62" s="2">
        <v>16</v>
      </c>
      <c r="J62" s="2" t="s">
        <v>135</v>
      </c>
      <c r="K62" s="44" t="s">
        <v>201</v>
      </c>
      <c r="L62" s="273">
        <v>1</v>
      </c>
      <c r="M62" s="16">
        <v>6</v>
      </c>
      <c r="N62" s="43">
        <v>2</v>
      </c>
      <c r="O62" s="43">
        <v>1</v>
      </c>
      <c r="P62" s="43">
        <v>2</v>
      </c>
      <c r="Q62" s="43">
        <v>3</v>
      </c>
      <c r="R62" s="43">
        <v>3</v>
      </c>
      <c r="S62" s="43">
        <v>3</v>
      </c>
      <c r="T62" s="13">
        <v>8.0555555555555561E-2</v>
      </c>
      <c r="U62" s="42">
        <f>(SUM($T$9:T62)/$T$4)*100</f>
        <v>73.766605758309069</v>
      </c>
      <c r="V62" s="27" t="s">
        <v>6</v>
      </c>
      <c r="W62" s="27" t="s">
        <v>6</v>
      </c>
      <c r="X62" s="27" t="s">
        <v>6</v>
      </c>
      <c r="Y62" s="27" t="s">
        <v>6</v>
      </c>
      <c r="Z62" s="27" t="s">
        <v>6</v>
      </c>
      <c r="AA62" s="27" t="s">
        <v>6</v>
      </c>
      <c r="AB62" s="27" t="s">
        <v>6</v>
      </c>
      <c r="AC62" s="27" t="s">
        <v>6</v>
      </c>
      <c r="AD62" s="27" t="s">
        <v>6</v>
      </c>
      <c r="AE62" s="159">
        <v>2</v>
      </c>
      <c r="AF62" s="17"/>
      <c r="AG62" s="174">
        <f>R62/SUM($R$9:$R$84)</f>
        <v>1.020408163265306E-2</v>
      </c>
      <c r="AH62" s="175">
        <f>Master_Data[[#This Row],[Imp. Level]]/SUMIF(Master_Data[Subject],Master_Data[[#This Row],[Subject]],Master_Data[Imp. Level])</f>
        <v>0.10344827586206896</v>
      </c>
      <c r="AI62" s="157">
        <f>Master_Data[[#This Row],[Subjectwise weights]]*Master_Data[[#This Row],[Confidence Level]]</f>
        <v>0.20689655172413793</v>
      </c>
      <c r="AJ62" s="158" t="str">
        <f>IF(AND(Master_Data[[#This Row],[Inst. EOC Ques.]]="D",Master_Data[[#This Row],[Class Test Book]]="D"),"D","U")</f>
        <v>U</v>
      </c>
      <c r="AK62" s="155" t="str">
        <f>IF(AND(Master_Data[[#This Row],[Inst. Online Portal]]="D",Master_Data[[#This Row],[Prac. Book]]="D",Master_Data[[#This Row],[Schweser Prac. Bk 1]]="D",Master_Data[[#This Row],[Schweser Prac. Bk 2]]="D"),"D","U")</f>
        <v>U</v>
      </c>
      <c r="AL62" s="270" t="str">
        <f>IF(AND(Master_Data[[#This Row],[Lectures]]="D",Master_Data[[#This Row],[Self Study]]="D"),Master_Data[[#This Row],[No. of Chapters]],"U")</f>
        <v>U</v>
      </c>
    </row>
    <row r="63" spans="2:38" ht="27" customHeight="1">
      <c r="B63" s="3">
        <v>55</v>
      </c>
      <c r="C63" s="183" t="str">
        <f ca="1">IF(Master_Data[[#This Row],[Column1]]="Done","",IF(Master_Data[[#This Row],[Column1]]=MIN(Master_Data[Column1]),"Current Week",CONCATENATE("Week ",Master_Data[[#This Row],[Column1]])))</f>
        <v>Week 36</v>
      </c>
      <c r="D63" s="3">
        <f ca="1">IF(Master_Data[[#This Row],[Cum. Undone hrs]]=0,"Done",ROUNDUP(Master_Data[[#This Row],[Cum. Undone hrs]]/Working!$C$8,0))</f>
        <v>36</v>
      </c>
      <c r="E63" s="3">
        <f ca="1">IF(OR(D63=D62,D63=D62+1),Master_Data[[#This Row],[Column1]],D63-1)</f>
        <v>36</v>
      </c>
      <c r="F63" s="15">
        <f>SUM($G$9:G63)</f>
        <v>10.509722222222218</v>
      </c>
      <c r="G63" s="26">
        <f>IF(Master_Data[[#This Row],[Lectures]]="D","",Master_Data[[#This Row],[Duration (hh:mm)]])</f>
        <v>0.13680555555555554</v>
      </c>
      <c r="H63" s="2" t="s">
        <v>14</v>
      </c>
      <c r="I63" s="2" t="s">
        <v>235</v>
      </c>
      <c r="J63" s="2" t="s">
        <v>135</v>
      </c>
      <c r="K63" s="44" t="s">
        <v>16</v>
      </c>
      <c r="L63" s="273">
        <v>2</v>
      </c>
      <c r="M63" s="16">
        <v>9</v>
      </c>
      <c r="N63" s="43">
        <v>4</v>
      </c>
      <c r="O63" s="43">
        <v>3</v>
      </c>
      <c r="P63" s="43">
        <v>4</v>
      </c>
      <c r="Q63" s="43">
        <v>3</v>
      </c>
      <c r="R63" s="43">
        <v>4</v>
      </c>
      <c r="S63" s="43">
        <v>3</v>
      </c>
      <c r="T63" s="13">
        <v>0.13680555555555554</v>
      </c>
      <c r="U63" s="42">
        <f>(SUM($T$9:T63)/$T$4)*100</f>
        <v>74.739493308311538</v>
      </c>
      <c r="V63" s="27" t="s">
        <v>6</v>
      </c>
      <c r="W63" s="27" t="s">
        <v>6</v>
      </c>
      <c r="X63" s="27" t="s">
        <v>6</v>
      </c>
      <c r="Y63" s="27" t="s">
        <v>6</v>
      </c>
      <c r="Z63" s="27" t="s">
        <v>6</v>
      </c>
      <c r="AA63" s="27" t="s">
        <v>6</v>
      </c>
      <c r="AB63" s="27" t="s">
        <v>6</v>
      </c>
      <c r="AC63" s="27" t="s">
        <v>6</v>
      </c>
      <c r="AD63" s="27" t="s">
        <v>6</v>
      </c>
      <c r="AE63" s="159">
        <v>2</v>
      </c>
      <c r="AF63" s="17"/>
      <c r="AG63" s="174">
        <f>R63/SUM($R$9:$R$72)</f>
        <v>1.6194331983805668E-2</v>
      </c>
      <c r="AH63" s="175">
        <f>Master_Data[[#This Row],[Imp. Level]]/SUMIF(Master_Data[Subject],Master_Data[[#This Row],[Subject]],Master_Data[Imp. Level])</f>
        <v>0.13793103448275862</v>
      </c>
      <c r="AI63" s="157">
        <f>Master_Data[[#This Row],[Subjectwise weights]]*Master_Data[[#This Row],[Confidence Level]]</f>
        <v>0.27586206896551724</v>
      </c>
      <c r="AJ63" s="158" t="str">
        <f>IF(AND(Master_Data[[#This Row],[Inst. EOC Ques.]]="D",Master_Data[[#This Row],[Class Test Book]]="D"),"D","U")</f>
        <v>U</v>
      </c>
      <c r="AK63" s="155" t="str">
        <f>IF(AND(Master_Data[[#This Row],[Inst. Online Portal]]="D",Master_Data[[#This Row],[Prac. Book]]="D",Master_Data[[#This Row],[Schweser Prac. Bk 1]]="D",Master_Data[[#This Row],[Schweser Prac. Bk 2]]="D"),"D","U")</f>
        <v>U</v>
      </c>
      <c r="AL63" s="270" t="str">
        <f>IF(AND(Master_Data[[#This Row],[Lectures]]="D",Master_Data[[#This Row],[Self Study]]="D"),Master_Data[[#This Row],[No. of Chapters]],"U")</f>
        <v>U</v>
      </c>
    </row>
    <row r="64" spans="2:38" ht="27" customHeight="1">
      <c r="B64" s="3">
        <v>56</v>
      </c>
      <c r="C64" s="183" t="str">
        <f ca="1">IF(Master_Data[[#This Row],[Column1]]="Done","",IF(Master_Data[[#This Row],[Column1]]=MIN(Master_Data[Column1]),"Current Week",CONCATENATE("Week ",Master_Data[[#This Row],[Column1]])))</f>
        <v>Week 37</v>
      </c>
      <c r="D64" s="3">
        <f ca="1">IF(Master_Data[[#This Row],[Cum. Undone hrs]]=0,"Done",ROUNDUP(Master_Data[[#This Row],[Cum. Undone hrs]]/Working!$C$8,0))</f>
        <v>37</v>
      </c>
      <c r="E64" s="3">
        <f ca="1">IF(OR(D64=D63,D64=D63+1),Master_Data[[#This Row],[Column1]],D64-1)</f>
        <v>37</v>
      </c>
      <c r="F64" s="15">
        <f>SUM($G$9:G64)</f>
        <v>10.694444444444439</v>
      </c>
      <c r="G64" s="26">
        <f>IF(Master_Data[[#This Row],[Lectures]]="D","",Master_Data[[#This Row],[Duration (hh:mm)]])</f>
        <v>0.18472222222222223</v>
      </c>
      <c r="H64" s="2" t="s">
        <v>14</v>
      </c>
      <c r="I64" s="2" t="s">
        <v>236</v>
      </c>
      <c r="J64" s="2" t="s">
        <v>135</v>
      </c>
      <c r="K64" s="44" t="s">
        <v>251</v>
      </c>
      <c r="L64" s="273">
        <v>3</v>
      </c>
      <c r="M64" s="16">
        <v>9</v>
      </c>
      <c r="N64" s="43">
        <v>4</v>
      </c>
      <c r="O64" s="43">
        <v>4</v>
      </c>
      <c r="P64" s="43">
        <v>5</v>
      </c>
      <c r="Q64" s="43">
        <v>5</v>
      </c>
      <c r="R64" s="43">
        <v>5</v>
      </c>
      <c r="S64" s="43">
        <v>4</v>
      </c>
      <c r="T64" s="14">
        <v>0.18472222222222223</v>
      </c>
      <c r="U64" s="42">
        <f>(SUM($T$9:T64)/$T$4)*100</f>
        <v>76.053138426588987</v>
      </c>
      <c r="V64" s="27" t="s">
        <v>6</v>
      </c>
      <c r="W64" s="27" t="s">
        <v>6</v>
      </c>
      <c r="X64" s="27" t="s">
        <v>6</v>
      </c>
      <c r="Y64" s="27" t="s">
        <v>6</v>
      </c>
      <c r="Z64" s="27" t="s">
        <v>6</v>
      </c>
      <c r="AA64" s="27" t="s">
        <v>6</v>
      </c>
      <c r="AB64" s="27" t="s">
        <v>6</v>
      </c>
      <c r="AC64" s="27" t="s">
        <v>6</v>
      </c>
      <c r="AD64" s="27" t="s">
        <v>6</v>
      </c>
      <c r="AE64" s="159">
        <v>3</v>
      </c>
      <c r="AF64" s="17"/>
      <c r="AG64" s="174">
        <f>R64/SUM($R$9:$R$72)</f>
        <v>2.0242914979757085E-2</v>
      </c>
      <c r="AH64" s="175">
        <f>Master_Data[[#This Row],[Imp. Level]]/SUMIF(Master_Data[Subject],Master_Data[[#This Row],[Subject]],Master_Data[Imp. Level])</f>
        <v>0.17241379310344829</v>
      </c>
      <c r="AI64" s="157">
        <f>Master_Data[[#This Row],[Subjectwise weights]]*Master_Data[[#This Row],[Confidence Level]]</f>
        <v>0.51724137931034486</v>
      </c>
      <c r="AJ64" s="158" t="str">
        <f>IF(AND(Master_Data[[#This Row],[Inst. EOC Ques.]]="D",Master_Data[[#This Row],[Class Test Book]]="D"),"D","U")</f>
        <v>U</v>
      </c>
      <c r="AK64" s="155" t="str">
        <f>IF(AND(Master_Data[[#This Row],[Inst. Online Portal]]="D",Master_Data[[#This Row],[Prac. Book]]="D",Master_Data[[#This Row],[Schweser Prac. Bk 1]]="D",Master_Data[[#This Row],[Schweser Prac. Bk 2]]="D"),"D","U")</f>
        <v>U</v>
      </c>
      <c r="AL64" s="270" t="str">
        <f>IF(AND(Master_Data[[#This Row],[Lectures]]="D",Master_Data[[#This Row],[Self Study]]="D"),Master_Data[[#This Row],[No. of Chapters]],"U")</f>
        <v>U</v>
      </c>
    </row>
    <row r="65" spans="2:38" ht="27" customHeight="1">
      <c r="B65" s="3">
        <v>57</v>
      </c>
      <c r="C65" s="183" t="str">
        <f ca="1">IF(Master_Data[[#This Row],[Column1]]="Done","",IF(Master_Data[[#This Row],[Column1]]=MIN(Master_Data[Column1]),"Current Week",CONCATENATE("Week ",Master_Data[[#This Row],[Column1]])))</f>
        <v>Week 38</v>
      </c>
      <c r="D65" s="3">
        <f ca="1">IF(Master_Data[[#This Row],[Cum. Undone hrs]]=0,"Done",ROUNDUP(Master_Data[[#This Row],[Cum. Undone hrs]]/Working!$C$8,0))</f>
        <v>38</v>
      </c>
      <c r="E65" s="3">
        <f ca="1">IF(OR(D65=D64,D65=D64+1),Master_Data[[#This Row],[Column1]],D65-1)</f>
        <v>38</v>
      </c>
      <c r="F65" s="15">
        <f>SUM($G$9:G65)</f>
        <v>11.08055555555555</v>
      </c>
      <c r="G65" s="26">
        <f>IF(Master_Data[[#This Row],[Lectures]]="D","",Master_Data[[#This Row],[Duration (hh:mm)]])</f>
        <v>0.38611111111111113</v>
      </c>
      <c r="H65" s="2" t="s">
        <v>275</v>
      </c>
      <c r="I65" s="2" t="s">
        <v>280</v>
      </c>
      <c r="J65" s="2" t="s">
        <v>135</v>
      </c>
      <c r="K65" s="44" t="s">
        <v>277</v>
      </c>
      <c r="L65" s="273">
        <v>2</v>
      </c>
      <c r="M65" s="16">
        <v>16</v>
      </c>
      <c r="N65" s="43">
        <v>5</v>
      </c>
      <c r="O65" s="43">
        <v>4</v>
      </c>
      <c r="P65" s="43">
        <v>5</v>
      </c>
      <c r="Q65" s="43">
        <v>4</v>
      </c>
      <c r="R65" s="43">
        <v>5</v>
      </c>
      <c r="S65" s="43">
        <v>4</v>
      </c>
      <c r="T65" s="13">
        <v>0.38611111111111113</v>
      </c>
      <c r="U65" s="42">
        <f>(SUM($T$9:T65)/$T$4)*100</f>
        <v>78.798953034717783</v>
      </c>
      <c r="V65" s="27" t="s">
        <v>6</v>
      </c>
      <c r="W65" s="27" t="s">
        <v>6</v>
      </c>
      <c r="X65" s="27" t="s">
        <v>6</v>
      </c>
      <c r="Y65" s="27" t="s">
        <v>6</v>
      </c>
      <c r="Z65" s="27" t="s">
        <v>6</v>
      </c>
      <c r="AA65" s="27" t="s">
        <v>6</v>
      </c>
      <c r="AB65" s="27" t="s">
        <v>6</v>
      </c>
      <c r="AC65" s="27" t="s">
        <v>6</v>
      </c>
      <c r="AD65" s="27" t="s">
        <v>6</v>
      </c>
      <c r="AE65" s="159">
        <v>2</v>
      </c>
      <c r="AF65" s="17"/>
      <c r="AG65" s="174">
        <f>R65/SUM($R$9:$R$72)</f>
        <v>2.0242914979757085E-2</v>
      </c>
      <c r="AH65" s="175">
        <f>Master_Data[[#This Row],[Imp. Level]]/SUMIF(Master_Data[Subject],Master_Data[[#This Row],[Subject]],Master_Data[Imp. Level])</f>
        <v>0.25</v>
      </c>
      <c r="AI65" s="157">
        <f>Master_Data[[#This Row],[Subjectwise weights]]*Master_Data[[#This Row],[Confidence Level]]</f>
        <v>0.5</v>
      </c>
      <c r="AJ65" s="158" t="str">
        <f>IF(AND(Master_Data[[#This Row],[Inst. EOC Ques.]]="D",Master_Data[[#This Row],[Class Test Book]]="D"),"D","U")</f>
        <v>U</v>
      </c>
      <c r="AK65" s="155" t="str">
        <f>IF(AND(Master_Data[[#This Row],[Inst. Online Portal]]="D",Master_Data[[#This Row],[Prac. Book]]="D",Master_Data[[#This Row],[Schweser Prac. Bk 1]]="D",Master_Data[[#This Row],[Schweser Prac. Bk 2]]="D"),"D","U")</f>
        <v>U</v>
      </c>
      <c r="AL65" s="270" t="str">
        <f>IF(AND(Master_Data[[#This Row],[Lectures]]="D",Master_Data[[#This Row],[Self Study]]="D"),Master_Data[[#This Row],[No. of Chapters]],"U")</f>
        <v>U</v>
      </c>
    </row>
    <row r="66" spans="2:38" ht="27" customHeight="1">
      <c r="B66" s="3">
        <v>58</v>
      </c>
      <c r="C66" s="183" t="str">
        <f ca="1">IF(Master_Data[[#This Row],[Column1]]="Done","",IF(Master_Data[[#This Row],[Column1]]=MIN(Master_Data[Column1]),"Current Week",CONCATENATE("Week ",Master_Data[[#This Row],[Column1]])))</f>
        <v>Week 39</v>
      </c>
      <c r="D66" s="3">
        <f ca="1">IF(Master_Data[[#This Row],[Cum. Undone hrs]]=0,"Done",ROUNDUP(Master_Data[[#This Row],[Cum. Undone hrs]]/Working!$C$8,0))</f>
        <v>39</v>
      </c>
      <c r="E66" s="3">
        <f ca="1">IF(OR(D66=D65,D66=D65+1),Master_Data[[#This Row],[Column1]],D66-1)</f>
        <v>39</v>
      </c>
      <c r="F66" s="15">
        <f>SUM($G$9:G66)</f>
        <v>11.26805555555555</v>
      </c>
      <c r="G66" s="26">
        <f>IF(Master_Data[[#This Row],[Lectures]]="D","",Master_Data[[#This Row],[Duration (hh:mm)]])</f>
        <v>0.1875</v>
      </c>
      <c r="H66" s="2" t="s">
        <v>14</v>
      </c>
      <c r="I66" s="2" t="s">
        <v>232</v>
      </c>
      <c r="J66" s="2" t="s">
        <v>135</v>
      </c>
      <c r="K66" s="44" t="s">
        <v>250</v>
      </c>
      <c r="L66" s="273">
        <v>1.5</v>
      </c>
      <c r="M66" s="16">
        <v>10</v>
      </c>
      <c r="N66" s="43">
        <v>4</v>
      </c>
      <c r="O66" s="43">
        <v>2</v>
      </c>
      <c r="P66" s="43">
        <v>2</v>
      </c>
      <c r="Q66" s="43">
        <v>2</v>
      </c>
      <c r="R66" s="43">
        <v>3</v>
      </c>
      <c r="S66" s="43">
        <v>3</v>
      </c>
      <c r="T66" s="13">
        <v>0.1875</v>
      </c>
      <c r="U66" s="42">
        <f>(SUM($T$9:T66)/$T$4)*100</f>
        <v>80.132352214924211</v>
      </c>
      <c r="V66" s="27" t="s">
        <v>6</v>
      </c>
      <c r="W66" s="27" t="s">
        <v>6</v>
      </c>
      <c r="X66" s="27" t="s">
        <v>6</v>
      </c>
      <c r="Y66" s="27" t="s">
        <v>6</v>
      </c>
      <c r="Z66" s="27" t="s">
        <v>6</v>
      </c>
      <c r="AA66" s="27" t="s">
        <v>6</v>
      </c>
      <c r="AB66" s="27" t="s">
        <v>6</v>
      </c>
      <c r="AC66" s="27" t="s">
        <v>6</v>
      </c>
      <c r="AD66" s="27" t="s">
        <v>6</v>
      </c>
      <c r="AE66" s="159">
        <v>3</v>
      </c>
      <c r="AF66" s="17"/>
      <c r="AG66" s="174">
        <f>R66/SUM($R$9:$R$72)</f>
        <v>1.2145748987854251E-2</v>
      </c>
      <c r="AH66" s="175">
        <f>Master_Data[[#This Row],[Imp. Level]]/SUMIF(Master_Data[Subject],Master_Data[[#This Row],[Subject]],Master_Data[Imp. Level])</f>
        <v>0.10344827586206896</v>
      </c>
      <c r="AI66" s="157">
        <f>Master_Data[[#This Row],[Subjectwise weights]]*Master_Data[[#This Row],[Confidence Level]]</f>
        <v>0.31034482758620691</v>
      </c>
      <c r="AJ66" s="158" t="str">
        <f>IF(AND(Master_Data[[#This Row],[Inst. EOC Ques.]]="D",Master_Data[[#This Row],[Class Test Book]]="D"),"D","U")</f>
        <v>U</v>
      </c>
      <c r="AK66" s="155" t="str">
        <f>IF(AND(Master_Data[[#This Row],[Inst. Online Portal]]="D",Master_Data[[#This Row],[Prac. Book]]="D",Master_Data[[#This Row],[Schweser Prac. Bk 1]]="D",Master_Data[[#This Row],[Schweser Prac. Bk 2]]="D"),"D","U")</f>
        <v>U</v>
      </c>
      <c r="AL66" s="270" t="str">
        <f>IF(AND(Master_Data[[#This Row],[Lectures]]="D",Master_Data[[#This Row],[Self Study]]="D"),Master_Data[[#This Row],[No. of Chapters]],"U")</f>
        <v>U</v>
      </c>
    </row>
    <row r="67" spans="2:38" ht="27" customHeight="1">
      <c r="B67" s="3">
        <v>59</v>
      </c>
      <c r="C67" s="183" t="str">
        <f ca="1">IF(Master_Data[[#This Row],[Column1]]="Done","",IF(Master_Data[[#This Row],[Column1]]=MIN(Master_Data[Column1]),"Current Week",CONCATENATE("Week ",Master_Data[[#This Row],[Column1]])))</f>
        <v>Week 39</v>
      </c>
      <c r="D67" s="3">
        <f ca="1">IF(Master_Data[[#This Row],[Cum. Undone hrs]]=0,"Done",ROUNDUP(Master_Data[[#This Row],[Cum. Undone hrs]]/Working!$C$8,0))</f>
        <v>39</v>
      </c>
      <c r="E67" s="3">
        <f ca="1">IF(OR(D67=D66,D67=D66+1),Master_Data[[#This Row],[Column1]],D67-1)</f>
        <v>39</v>
      </c>
      <c r="F67" s="15">
        <f>SUM($G$9:G67)</f>
        <v>11.45555555555555</v>
      </c>
      <c r="G67" s="26">
        <f>IF(Master_Data[[#This Row],[Lectures]]="D","",Master_Data[[#This Row],[Duration (hh:mm)]])</f>
        <v>0.1875</v>
      </c>
      <c r="H67" s="2" t="s">
        <v>14</v>
      </c>
      <c r="I67" s="2" t="s">
        <v>237</v>
      </c>
      <c r="J67" s="2" t="s">
        <v>135</v>
      </c>
      <c r="K67" s="44" t="s">
        <v>252</v>
      </c>
      <c r="L67" s="273">
        <v>1.5</v>
      </c>
      <c r="M67" s="16">
        <v>11</v>
      </c>
      <c r="N67" s="43">
        <v>5</v>
      </c>
      <c r="O67" s="43">
        <v>2</v>
      </c>
      <c r="P67" s="43">
        <v>3</v>
      </c>
      <c r="Q67" s="43">
        <v>2</v>
      </c>
      <c r="R67" s="43">
        <v>4</v>
      </c>
      <c r="S67" s="43">
        <v>3</v>
      </c>
      <c r="T67" s="12">
        <v>0.1875</v>
      </c>
      <c r="U67" s="42">
        <f>(SUM($T$9:T67)/$T$4)*100</f>
        <v>81.465751395130638</v>
      </c>
      <c r="V67" s="27" t="s">
        <v>6</v>
      </c>
      <c r="W67" s="27" t="s">
        <v>6</v>
      </c>
      <c r="X67" s="27" t="s">
        <v>6</v>
      </c>
      <c r="Y67" s="27" t="s">
        <v>6</v>
      </c>
      <c r="Z67" s="27" t="s">
        <v>6</v>
      </c>
      <c r="AA67" s="27" t="s">
        <v>6</v>
      </c>
      <c r="AB67" s="27" t="s">
        <v>6</v>
      </c>
      <c r="AC67" s="27" t="s">
        <v>6</v>
      </c>
      <c r="AD67" s="27" t="s">
        <v>6</v>
      </c>
      <c r="AE67" s="159">
        <v>3</v>
      </c>
      <c r="AF67" s="17"/>
      <c r="AG67" s="174">
        <f>R67/SUM($R$9:$R$72)</f>
        <v>1.6194331983805668E-2</v>
      </c>
      <c r="AH67" s="175">
        <f>Master_Data[[#This Row],[Imp. Level]]/SUMIF(Master_Data[Subject],Master_Data[[#This Row],[Subject]],Master_Data[Imp. Level])</f>
        <v>0.13793103448275862</v>
      </c>
      <c r="AI67" s="157">
        <f>Master_Data[[#This Row],[Subjectwise weights]]*Master_Data[[#This Row],[Confidence Level]]</f>
        <v>0.41379310344827586</v>
      </c>
      <c r="AJ67" s="158" t="str">
        <f>IF(AND(Master_Data[[#This Row],[Inst. EOC Ques.]]="D",Master_Data[[#This Row],[Class Test Book]]="D"),"D","U")</f>
        <v>U</v>
      </c>
      <c r="AK67" s="155" t="str">
        <f>IF(AND(Master_Data[[#This Row],[Inst. Online Portal]]="D",Master_Data[[#This Row],[Prac. Book]]="D",Master_Data[[#This Row],[Schweser Prac. Bk 1]]="D",Master_Data[[#This Row],[Schweser Prac. Bk 2]]="D"),"D","U")</f>
        <v>U</v>
      </c>
      <c r="AL67" s="270" t="str">
        <f>IF(AND(Master_Data[[#This Row],[Lectures]]="D",Master_Data[[#This Row],[Self Study]]="D"),Master_Data[[#This Row],[No. of Chapters]],"U")</f>
        <v>U</v>
      </c>
    </row>
    <row r="68" spans="2:38" ht="26.25" customHeight="1">
      <c r="B68" s="3">
        <v>60</v>
      </c>
      <c r="C68" s="183" t="str">
        <f ca="1">IF(Master_Data[[#This Row],[Column1]]="Done","",IF(Master_Data[[#This Row],[Column1]]=MIN(Master_Data[Column1]),"Current Week",CONCATENATE("Week ",Master_Data[[#This Row],[Column1]])))</f>
        <v>Week 40</v>
      </c>
      <c r="D68" s="3">
        <f ca="1">IF(Master_Data[[#This Row],[Cum. Undone hrs]]=0,"Done",ROUNDUP(Master_Data[[#This Row],[Cum. Undone hrs]]/Working!$C$8,0))</f>
        <v>40</v>
      </c>
      <c r="E68" s="3">
        <f ca="1">IF(OR(D68=D67,D68=D67+1),Master_Data[[#This Row],[Column1]],D68-1)</f>
        <v>40</v>
      </c>
      <c r="F68" s="15">
        <f>SUM($G$9:G68)</f>
        <v>11.707638888888884</v>
      </c>
      <c r="G68" s="26">
        <f>IF(Master_Data[[#This Row],[Lectures]]="D","",Master_Data[[#This Row],[Duration (hh:mm)]])</f>
        <v>0.25208333333333333</v>
      </c>
      <c r="H68" s="2" t="s">
        <v>14</v>
      </c>
      <c r="I68" s="2" t="s">
        <v>199</v>
      </c>
      <c r="J68" s="2" t="s">
        <v>135</v>
      </c>
      <c r="K68" s="44" t="s">
        <v>129</v>
      </c>
      <c r="L68" s="273">
        <v>1</v>
      </c>
      <c r="M68" s="16">
        <v>15</v>
      </c>
      <c r="N68" s="43">
        <v>4</v>
      </c>
      <c r="O68" s="43">
        <v>2</v>
      </c>
      <c r="P68" s="43">
        <v>4</v>
      </c>
      <c r="Q68" s="43">
        <v>4</v>
      </c>
      <c r="R68" s="43">
        <v>3</v>
      </c>
      <c r="S68" s="43">
        <v>4</v>
      </c>
      <c r="T68" s="13">
        <v>0.25208333333333333</v>
      </c>
      <c r="U68" s="42">
        <f>(SUM($T$9:T68)/$T$4)*100</f>
        <v>83.258432515185959</v>
      </c>
      <c r="V68" s="27" t="s">
        <v>6</v>
      </c>
      <c r="W68" s="27" t="s">
        <v>6</v>
      </c>
      <c r="X68" s="27" t="s">
        <v>6</v>
      </c>
      <c r="Y68" s="27" t="s">
        <v>6</v>
      </c>
      <c r="Z68" s="27" t="s">
        <v>6</v>
      </c>
      <c r="AA68" s="27" t="s">
        <v>6</v>
      </c>
      <c r="AB68" s="27" t="s">
        <v>6</v>
      </c>
      <c r="AC68" s="27" t="s">
        <v>6</v>
      </c>
      <c r="AD68" s="27" t="s">
        <v>6</v>
      </c>
      <c r="AE68" s="159">
        <v>3</v>
      </c>
      <c r="AF68" s="19"/>
      <c r="AG68" s="174">
        <f>R68/SUM($R$9:$R$72)</f>
        <v>1.2145748987854251E-2</v>
      </c>
      <c r="AH68" s="175">
        <f>Master_Data[[#This Row],[Imp. Level]]/SUMIF(Master_Data[Subject],Master_Data[[#This Row],[Subject]],Master_Data[Imp. Level])</f>
        <v>0.10344827586206896</v>
      </c>
      <c r="AI68" s="157">
        <f>Master_Data[[#This Row],[Subjectwise weights]]*Master_Data[[#This Row],[Confidence Level]]</f>
        <v>0.31034482758620691</v>
      </c>
      <c r="AJ68" s="158" t="str">
        <f>IF(AND(Master_Data[[#This Row],[Inst. EOC Ques.]]="D",Master_Data[[#This Row],[Class Test Book]]="D"),"D","U")</f>
        <v>U</v>
      </c>
      <c r="AK68" s="155" t="str">
        <f>IF(AND(Master_Data[[#This Row],[Inst. Online Portal]]="D",Master_Data[[#This Row],[Prac. Book]]="D",Master_Data[[#This Row],[Schweser Prac. Bk 1]]="D",Master_Data[[#This Row],[Schweser Prac. Bk 2]]="D"),"D","U")</f>
        <v>U</v>
      </c>
      <c r="AL68" s="270" t="str">
        <f>IF(AND(Master_Data[[#This Row],[Lectures]]="D",Master_Data[[#This Row],[Self Study]]="D"),Master_Data[[#This Row],[No. of Chapters]],"U")</f>
        <v>U</v>
      </c>
    </row>
    <row r="69" spans="2:38" ht="26.25" customHeight="1">
      <c r="B69" s="3">
        <v>61</v>
      </c>
      <c r="C69" s="183" t="str">
        <f ca="1">IF(Master_Data[[#This Row],[Column1]]="Done","",IF(Master_Data[[#This Row],[Column1]]=MIN(Master_Data[Column1]),"Current Week",CONCATENATE("Week ",Master_Data[[#This Row],[Column1]])))</f>
        <v>Week 41</v>
      </c>
      <c r="D69" s="3">
        <f ca="1">IF(Master_Data[[#This Row],[Cum. Undone hrs]]=0,"Done",ROUNDUP(Master_Data[[#This Row],[Cum. Undone hrs]]/Working!$C$8,0))</f>
        <v>41</v>
      </c>
      <c r="E69" s="3">
        <f ca="1">IF(OR(D69=D68,D69=D68+1),Master_Data[[#This Row],[Column1]],D69-1)</f>
        <v>41</v>
      </c>
      <c r="F69" s="15">
        <f>SUM($G$9:G69)</f>
        <v>11.849999999999994</v>
      </c>
      <c r="G69" s="26">
        <f>IF(Master_Data[[#This Row],[Lectures]]="D","",Master_Data[[#This Row],[Duration (hh:mm)]])</f>
        <v>0.1423611111111111</v>
      </c>
      <c r="H69" s="2" t="s">
        <v>275</v>
      </c>
      <c r="I69" s="2">
        <v>85</v>
      </c>
      <c r="J69" s="2" t="s">
        <v>135</v>
      </c>
      <c r="K69" s="44" t="s">
        <v>264</v>
      </c>
      <c r="L69" s="273">
        <v>1</v>
      </c>
      <c r="M69" s="16">
        <v>6</v>
      </c>
      <c r="N69" s="43">
        <v>2</v>
      </c>
      <c r="O69" s="43">
        <v>1</v>
      </c>
      <c r="P69" s="43">
        <v>2</v>
      </c>
      <c r="Q69" s="43">
        <v>2</v>
      </c>
      <c r="R69" s="43">
        <v>3</v>
      </c>
      <c r="S69" s="43">
        <v>3</v>
      </c>
      <c r="T69" s="26">
        <v>0.1423611111111111</v>
      </c>
      <c r="U69" s="42">
        <f>(SUM($T$9:T69)/$T$4)*100</f>
        <v>84.270828189046384</v>
      </c>
      <c r="V69" s="27" t="s">
        <v>6</v>
      </c>
      <c r="W69" s="27" t="s">
        <v>6</v>
      </c>
      <c r="X69" s="27" t="s">
        <v>6</v>
      </c>
      <c r="Y69" s="27" t="s">
        <v>6</v>
      </c>
      <c r="Z69" s="27" t="s">
        <v>6</v>
      </c>
      <c r="AA69" s="27" t="s">
        <v>6</v>
      </c>
      <c r="AB69" s="27" t="s">
        <v>6</v>
      </c>
      <c r="AC69" s="27" t="s">
        <v>6</v>
      </c>
      <c r="AD69" s="27" t="s">
        <v>6</v>
      </c>
      <c r="AE69" s="159">
        <v>2</v>
      </c>
      <c r="AF69" s="17"/>
      <c r="AG69" s="174">
        <f>R69/SUM($R$9:$R$72)</f>
        <v>1.2145748987854251E-2</v>
      </c>
      <c r="AH69" s="175">
        <f>Master_Data[[#This Row],[Imp. Level]]/SUMIF(Master_Data[Subject],Master_Data[[#This Row],[Subject]],Master_Data[Imp. Level])</f>
        <v>0.15</v>
      </c>
      <c r="AI69" s="157">
        <f>Master_Data[[#This Row],[Subjectwise weights]]*Master_Data[[#This Row],[Confidence Level]]</f>
        <v>0.3</v>
      </c>
      <c r="AJ69" s="158" t="str">
        <f>IF(AND(Master_Data[[#This Row],[Inst. EOC Ques.]]="D",Master_Data[[#This Row],[Class Test Book]]="D"),"D","U")</f>
        <v>U</v>
      </c>
      <c r="AK69" s="155" t="str">
        <f>IF(AND(Master_Data[[#This Row],[Inst. Online Portal]]="D",Master_Data[[#This Row],[Prac. Book]]="D",Master_Data[[#This Row],[Schweser Prac. Bk 1]]="D",Master_Data[[#This Row],[Schweser Prac. Bk 2]]="D"),"D","U")</f>
        <v>U</v>
      </c>
      <c r="AL69" s="270" t="str">
        <f>IF(AND(Master_Data[[#This Row],[Lectures]]="D",Master_Data[[#This Row],[Self Study]]="D"),Master_Data[[#This Row],[No. of Chapters]],"U")</f>
        <v>U</v>
      </c>
    </row>
    <row r="70" spans="2:38" ht="26.45" customHeight="1">
      <c r="B70" s="3">
        <v>62</v>
      </c>
      <c r="C70" s="183" t="str">
        <f ca="1">IF(Master_Data[[#This Row],[Column1]]="Done","",IF(Master_Data[[#This Row],[Column1]]=MIN(Master_Data[Column1]),"Current Week",CONCATENATE("Week ",Master_Data[[#This Row],[Column1]])))</f>
        <v>Week 41</v>
      </c>
      <c r="D70" s="3">
        <f ca="1">IF(Master_Data[[#This Row],[Cum. Undone hrs]]=0,"Done",ROUNDUP(Master_Data[[#This Row],[Cum. Undone hrs]]/Working!$C$8,0))</f>
        <v>41</v>
      </c>
      <c r="E70" s="3">
        <f ca="1">IF(OR(D70=D69,D70=D69+1),Master_Data[[#This Row],[Column1]],D70-1)</f>
        <v>41</v>
      </c>
      <c r="F70" s="15">
        <f>SUM($G$9:G70)</f>
        <v>11.95416666666666</v>
      </c>
      <c r="G70" s="26">
        <f>IF(Master_Data[[#This Row],[Lectures]]="D","",Master_Data[[#This Row],[Duration (hh:mm)]])</f>
        <v>0.10416666666666667</v>
      </c>
      <c r="H70" s="2" t="s">
        <v>275</v>
      </c>
      <c r="I70" s="2">
        <v>86</v>
      </c>
      <c r="J70" s="2" t="s">
        <v>135</v>
      </c>
      <c r="K70" s="44" t="s">
        <v>21</v>
      </c>
      <c r="L70" s="273">
        <v>1</v>
      </c>
      <c r="M70" s="22">
        <v>8</v>
      </c>
      <c r="N70" s="43">
        <v>2</v>
      </c>
      <c r="O70" s="43">
        <v>1</v>
      </c>
      <c r="P70" s="43">
        <v>3</v>
      </c>
      <c r="Q70" s="43">
        <v>2</v>
      </c>
      <c r="R70" s="43">
        <v>4</v>
      </c>
      <c r="S70" s="43">
        <v>3</v>
      </c>
      <c r="T70" s="179">
        <v>0.10416666666666667</v>
      </c>
      <c r="U70" s="42">
        <f>(SUM($T$9:T70)/$T$4)*100</f>
        <v>85.011605511383294</v>
      </c>
      <c r="V70" s="27" t="s">
        <v>6</v>
      </c>
      <c r="W70" s="27" t="s">
        <v>6</v>
      </c>
      <c r="X70" s="27" t="s">
        <v>6</v>
      </c>
      <c r="Y70" s="27" t="s">
        <v>6</v>
      </c>
      <c r="Z70" s="27" t="s">
        <v>6</v>
      </c>
      <c r="AA70" s="27" t="s">
        <v>6</v>
      </c>
      <c r="AB70" s="27" t="s">
        <v>6</v>
      </c>
      <c r="AC70" s="27" t="s">
        <v>6</v>
      </c>
      <c r="AD70" s="27" t="s">
        <v>6</v>
      </c>
      <c r="AE70" s="159">
        <v>3</v>
      </c>
      <c r="AF70" s="17"/>
      <c r="AG70" s="174">
        <f>R70/SUM($R$9:$R$72)</f>
        <v>1.6194331983805668E-2</v>
      </c>
      <c r="AH70" s="175">
        <f>Master_Data[[#This Row],[Imp. Level]]/SUMIF(Master_Data[Subject],Master_Data[[#This Row],[Subject]],Master_Data[Imp. Level])</f>
        <v>0.2</v>
      </c>
      <c r="AI70" s="157">
        <f>Master_Data[[#This Row],[Subjectwise weights]]*Master_Data[[#This Row],[Confidence Level]]</f>
        <v>0.60000000000000009</v>
      </c>
      <c r="AJ70" s="158" t="str">
        <f>IF(AND(Master_Data[[#This Row],[Inst. EOC Ques.]]="D",Master_Data[[#This Row],[Class Test Book]]="D"),"D","U")</f>
        <v>U</v>
      </c>
      <c r="AK70" s="155" t="str">
        <f>IF(AND(Master_Data[[#This Row],[Inst. Online Portal]]="D",Master_Data[[#This Row],[Prac. Book]]="D",Master_Data[[#This Row],[Schweser Prac. Bk 1]]="D",Master_Data[[#This Row],[Schweser Prac. Bk 2]]="D"),"D","U")</f>
        <v>U</v>
      </c>
      <c r="AL70" s="270" t="str">
        <f>IF(AND(Master_Data[[#This Row],[Lectures]]="D",Master_Data[[#This Row],[Self Study]]="D"),Master_Data[[#This Row],[No. of Chapters]],"U")</f>
        <v>U</v>
      </c>
    </row>
    <row r="71" spans="2:38" ht="26.45" customHeight="1">
      <c r="B71" s="3">
        <v>63</v>
      </c>
      <c r="C71" s="183" t="str">
        <f ca="1">IF(Master_Data[[#This Row],[Column1]]="Done","",IF(Master_Data[[#This Row],[Column1]]=MIN(Master_Data[Column1]),"Current Week",CONCATENATE("Week ",Master_Data[[#This Row],[Column1]])))</f>
        <v>Week 42</v>
      </c>
      <c r="D71" s="3">
        <f ca="1">IF(Master_Data[[#This Row],[Cum. Undone hrs]]=0,"Done",ROUNDUP(Master_Data[[#This Row],[Cum. Undone hrs]]/Working!$C$8,0))</f>
        <v>42</v>
      </c>
      <c r="E71" s="3">
        <f ca="1">IF(OR(D71=D70,D71=D70+1),Master_Data[[#This Row],[Column1]],D71-1)</f>
        <v>42</v>
      </c>
      <c r="F71" s="15">
        <f>SUM($G$9:G71)</f>
        <v>12.095833333333328</v>
      </c>
      <c r="G71" s="26">
        <f>IF(Master_Data[[#This Row],[Lectures]]="D","",Master_Data[[#This Row],[Duration (hh:mm)]])</f>
        <v>0.14166666666666666</v>
      </c>
      <c r="H71" s="2" t="s">
        <v>275</v>
      </c>
      <c r="I71" s="2">
        <v>87</v>
      </c>
      <c r="J71" s="2" t="s">
        <v>135</v>
      </c>
      <c r="K71" s="44" t="s">
        <v>202</v>
      </c>
      <c r="L71" s="273">
        <v>1</v>
      </c>
      <c r="M71" s="178">
        <v>3</v>
      </c>
      <c r="N71" s="151">
        <v>2</v>
      </c>
      <c r="O71" s="152">
        <v>1</v>
      </c>
      <c r="P71" s="152">
        <v>3</v>
      </c>
      <c r="Q71" s="152">
        <v>4</v>
      </c>
      <c r="R71" s="152">
        <v>4</v>
      </c>
      <c r="S71" s="153">
        <v>4</v>
      </c>
      <c r="T71" s="26">
        <v>0.14166666666666666</v>
      </c>
      <c r="U71" s="42">
        <f>(SUM($T$9:T71)/$T$4)*100</f>
        <v>86.019062669761496</v>
      </c>
      <c r="V71" s="27" t="s">
        <v>6</v>
      </c>
      <c r="W71" s="27" t="s">
        <v>6</v>
      </c>
      <c r="X71" s="27" t="s">
        <v>6</v>
      </c>
      <c r="Y71" s="27" t="s">
        <v>6</v>
      </c>
      <c r="Z71" s="27" t="s">
        <v>6</v>
      </c>
      <c r="AA71" s="27" t="s">
        <v>6</v>
      </c>
      <c r="AB71" s="27" t="s">
        <v>6</v>
      </c>
      <c r="AC71" s="27" t="s">
        <v>6</v>
      </c>
      <c r="AD71" s="27" t="s">
        <v>6</v>
      </c>
      <c r="AE71" s="159">
        <v>3</v>
      </c>
      <c r="AF71" s="17"/>
      <c r="AG71" s="174">
        <f>R71/SUM($R$9:$R$72)</f>
        <v>1.6194331983805668E-2</v>
      </c>
      <c r="AH71" s="175">
        <f>Master_Data[[#This Row],[Imp. Level]]/SUMIF(Master_Data[Subject],Master_Data[[#This Row],[Subject]],Master_Data[Imp. Level])</f>
        <v>0.2</v>
      </c>
      <c r="AI71" s="157">
        <f>Master_Data[[#This Row],[Subjectwise weights]]*Master_Data[[#This Row],[Confidence Level]]</f>
        <v>0.60000000000000009</v>
      </c>
      <c r="AJ71" s="158" t="str">
        <f>IF(AND(Master_Data[[#This Row],[Inst. EOC Ques.]]="D",Master_Data[[#This Row],[Class Test Book]]="D"),"D","U")</f>
        <v>U</v>
      </c>
      <c r="AK71" s="155" t="str">
        <f>IF(AND(Master_Data[[#This Row],[Inst. Online Portal]]="D",Master_Data[[#This Row],[Prac. Book]]="D",Master_Data[[#This Row],[Schweser Prac. Bk 1]]="D",Master_Data[[#This Row],[Schweser Prac. Bk 2]]="D"),"D","U")</f>
        <v>U</v>
      </c>
      <c r="AL71" s="270" t="str">
        <f>IF(AND(Master_Data[[#This Row],[Lectures]]="D",Master_Data[[#This Row],[Self Study]]="D"),Master_Data[[#This Row],[No. of Chapters]],"U")</f>
        <v>U</v>
      </c>
    </row>
    <row r="72" spans="2:38" ht="27" customHeight="1">
      <c r="B72" s="3">
        <v>64</v>
      </c>
      <c r="C72" s="183" t="str">
        <f ca="1">IF(Master_Data[[#This Row],[Column1]]="Done","",IF(Master_Data[[#This Row],[Column1]]=MIN(Master_Data[Column1]),"Current Week",CONCATENATE("Week ",Master_Data[[#This Row],[Column1]])))</f>
        <v>Week 42</v>
      </c>
      <c r="D72" s="3">
        <f ca="1">IF(Master_Data[[#This Row],[Cum. Undone hrs]]=0,"Done",ROUNDUP(Master_Data[[#This Row],[Cum. Undone hrs]]/Working!$C$8,0))</f>
        <v>42</v>
      </c>
      <c r="E72" s="3">
        <f ca="1">IF(OR(D72=D71,D72=D71+1),Master_Data[[#This Row],[Column1]],D72-1)</f>
        <v>42</v>
      </c>
      <c r="F72" s="15">
        <f>SUM($G$9:G72)</f>
        <v>12.146527777777772</v>
      </c>
      <c r="G72" s="26">
        <f>IF(Master_Data[[#This Row],[Lectures]]="D","",Master_Data[[#This Row],[Duration (hh:mm)]])</f>
        <v>5.0694444444444452E-2</v>
      </c>
      <c r="H72" s="2" t="s">
        <v>9</v>
      </c>
      <c r="I72" s="2">
        <v>11</v>
      </c>
      <c r="J72" s="2" t="s">
        <v>135</v>
      </c>
      <c r="K72" s="44" t="s">
        <v>198</v>
      </c>
      <c r="L72" s="273">
        <v>1</v>
      </c>
      <c r="M72" s="178">
        <v>3</v>
      </c>
      <c r="N72" s="151">
        <v>3</v>
      </c>
      <c r="O72" s="152">
        <v>1</v>
      </c>
      <c r="P72" s="152">
        <v>3</v>
      </c>
      <c r="Q72" s="152">
        <v>3</v>
      </c>
      <c r="R72" s="152">
        <v>2</v>
      </c>
      <c r="S72" s="153">
        <v>3</v>
      </c>
      <c r="T72" s="179">
        <v>5.0694444444444452E-2</v>
      </c>
      <c r="U72" s="42">
        <f>(SUM($T$9:T72)/$T$4)*100</f>
        <v>86.379574299965441</v>
      </c>
      <c r="V72" s="27" t="s">
        <v>6</v>
      </c>
      <c r="W72" s="27" t="s">
        <v>6</v>
      </c>
      <c r="X72" s="27" t="s">
        <v>6</v>
      </c>
      <c r="Y72" s="27" t="s">
        <v>6</v>
      </c>
      <c r="Z72" s="27" t="s">
        <v>6</v>
      </c>
      <c r="AA72" s="27" t="s">
        <v>6</v>
      </c>
      <c r="AB72" s="27" t="s">
        <v>6</v>
      </c>
      <c r="AC72" s="27" t="s">
        <v>6</v>
      </c>
      <c r="AD72" s="27" t="s">
        <v>6</v>
      </c>
      <c r="AE72" s="159">
        <v>2</v>
      </c>
      <c r="AF72" s="17"/>
      <c r="AG72" s="174">
        <f>R72/SUM($R$9:$R$84)</f>
        <v>6.8027210884353739E-3</v>
      </c>
      <c r="AH72" s="175">
        <f>Master_Data[[#This Row],[Imp. Level]]/SUMIF(Master_Data[Subject],Master_Data[[#This Row],[Subject]],Master_Data[Imp. Level])</f>
        <v>4.5454545454545456E-2</v>
      </c>
      <c r="AI72" s="157">
        <f>Master_Data[[#This Row],[Subjectwise weights]]*Master_Data[[#This Row],[Confidence Level]]</f>
        <v>9.0909090909090912E-2</v>
      </c>
      <c r="AJ72" s="158" t="str">
        <f>IF(AND(Master_Data[[#This Row],[Inst. EOC Ques.]]="D",Master_Data[[#This Row],[Class Test Book]]="D"),"D","U")</f>
        <v>U</v>
      </c>
      <c r="AK72" s="155" t="str">
        <f>IF(AND(Master_Data[[#This Row],[Inst. Online Portal]]="D",Master_Data[[#This Row],[Prac. Book]]="D",Master_Data[[#This Row],[Schweser Prac. Bk 1]]="D",Master_Data[[#This Row],[Schweser Prac. Bk 2]]="D"),"D","U")</f>
        <v>U</v>
      </c>
      <c r="AL72" s="270" t="str">
        <f>IF(AND(Master_Data[[#This Row],[Lectures]]="D",Master_Data[[#This Row],[Self Study]]="D"),Master_Data[[#This Row],[No. of Chapters]],"U")</f>
        <v>U</v>
      </c>
    </row>
    <row r="73" spans="2:38" ht="27" customHeight="1">
      <c r="B73" s="3">
        <v>65</v>
      </c>
      <c r="C73" s="183" t="str">
        <f ca="1">IF(Master_Data[[#This Row],[Column1]]="Done","",IF(Master_Data[[#This Row],[Column1]]=MIN(Master_Data[Column1]),"Current Week",CONCATENATE("Week ",Master_Data[[#This Row],[Column1]])))</f>
        <v>Week 42</v>
      </c>
      <c r="D73" s="3">
        <f ca="1">IF(Master_Data[[#This Row],[Cum. Undone hrs]]=0,"Done",ROUNDUP(Master_Data[[#This Row],[Cum. Undone hrs]]/Working!$C$8,0))</f>
        <v>42</v>
      </c>
      <c r="E73" s="3">
        <f ca="1">IF(OR(D73=D72,D73=D72+1),Master_Data[[#This Row],[Column1]],D73-1)</f>
        <v>42</v>
      </c>
      <c r="F73" s="15">
        <f>SUM($G$9:G73)</f>
        <v>12.212499999999993</v>
      </c>
      <c r="G73" s="26">
        <f>IF(Master_Data[[#This Row],[Lectures]]="D","",Master_Data[[#This Row],[Duration (hh:mm)]])</f>
        <v>6.5972222222222224E-2</v>
      </c>
      <c r="H73" s="2" t="s">
        <v>275</v>
      </c>
      <c r="I73" s="2">
        <v>88</v>
      </c>
      <c r="J73" s="2" t="s">
        <v>135</v>
      </c>
      <c r="K73" s="44" t="s">
        <v>203</v>
      </c>
      <c r="L73" s="273">
        <v>1</v>
      </c>
      <c r="M73" s="178">
        <v>7</v>
      </c>
      <c r="N73" s="43">
        <v>4</v>
      </c>
      <c r="O73" s="43">
        <v>1</v>
      </c>
      <c r="P73" s="43">
        <v>4</v>
      </c>
      <c r="Q73" s="43">
        <v>4</v>
      </c>
      <c r="R73" s="43">
        <v>4</v>
      </c>
      <c r="S73" s="43">
        <v>3</v>
      </c>
      <c r="T73" s="26">
        <v>6.5972222222222224E-2</v>
      </c>
      <c r="U73" s="42">
        <f>(SUM($T$9:T73)/$T$4)*100</f>
        <v>86.848733270778808</v>
      </c>
      <c r="V73" s="27" t="s">
        <v>6</v>
      </c>
      <c r="W73" s="27" t="s">
        <v>6</v>
      </c>
      <c r="X73" s="27" t="s">
        <v>6</v>
      </c>
      <c r="Y73" s="27" t="s">
        <v>6</v>
      </c>
      <c r="Z73" s="27" t="s">
        <v>6</v>
      </c>
      <c r="AA73" s="27" t="s">
        <v>6</v>
      </c>
      <c r="AB73" s="27" t="s">
        <v>6</v>
      </c>
      <c r="AC73" s="27" t="s">
        <v>6</v>
      </c>
      <c r="AD73" s="27" t="s">
        <v>6</v>
      </c>
      <c r="AE73" s="159">
        <v>3</v>
      </c>
      <c r="AF73" s="17"/>
      <c r="AG73" s="174">
        <f>R73/SUM($R$9:$R$72)</f>
        <v>1.6194331983805668E-2</v>
      </c>
      <c r="AH73" s="175">
        <f>Master_Data[[#This Row],[Imp. Level]]/SUMIF(Master_Data[Subject],Master_Data[[#This Row],[Subject]],Master_Data[Imp. Level])</f>
        <v>0.2</v>
      </c>
      <c r="AI73" s="157">
        <f>Master_Data[[#This Row],[Subjectwise weights]]*Master_Data[[#This Row],[Confidence Level]]</f>
        <v>0.60000000000000009</v>
      </c>
      <c r="AJ73" s="158" t="str">
        <f>IF(AND(Master_Data[[#This Row],[Inst. EOC Ques.]]="D",Master_Data[[#This Row],[Class Test Book]]="D"),"D","U")</f>
        <v>U</v>
      </c>
      <c r="AK73" s="155" t="str">
        <f>IF(AND(Master_Data[[#This Row],[Inst. Online Portal]]="D",Master_Data[[#This Row],[Prac. Book]]="D",Master_Data[[#This Row],[Schweser Prac. Bk 1]]="D",Master_Data[[#This Row],[Schweser Prac. Bk 2]]="D"),"D","U")</f>
        <v>U</v>
      </c>
      <c r="AL73" s="270" t="str">
        <f>IF(AND(Master_Data[[#This Row],[Lectures]]="D",Master_Data[[#This Row],[Self Study]]="D"),Master_Data[[#This Row],[No. of Chapters]],"U")</f>
        <v>U</v>
      </c>
    </row>
    <row r="74" spans="2:38" ht="27" customHeight="1">
      <c r="B74" s="3">
        <v>66</v>
      </c>
      <c r="C74" s="183" t="str">
        <f ca="1">IF(Master_Data[[#This Row],[Column1]]="Done","",IF(Master_Data[[#This Row],[Column1]]=MIN(Master_Data[Column1]),"Current Week",CONCATENATE("Week ",Master_Data[[#This Row],[Column1]])))</f>
        <v>Week 43</v>
      </c>
      <c r="D74" s="3">
        <f ca="1">IF(Master_Data[[#This Row],[Cum. Undone hrs]]=0,"Done",ROUNDUP(Master_Data[[#This Row],[Cum. Undone hrs]]/Working!$C$8,0))</f>
        <v>43</v>
      </c>
      <c r="E74" s="3">
        <f ca="1">IF(OR(D74=D73,D74=D73+1),Master_Data[[#This Row],[Column1]],D74-1)</f>
        <v>43</v>
      </c>
      <c r="F74" s="15">
        <f>SUM($G$9:G74)</f>
        <v>12.399999999999993</v>
      </c>
      <c r="G74" s="26">
        <f>IF(Master_Data[[#This Row],[Lectures]]="D","",Master_Data[[#This Row],[Duration (hh:mm)]])</f>
        <v>0.1875</v>
      </c>
      <c r="H74" s="2" t="s">
        <v>14</v>
      </c>
      <c r="I74" s="2" t="s">
        <v>233</v>
      </c>
      <c r="J74" s="2" t="s">
        <v>135</v>
      </c>
      <c r="K74" s="44" t="s">
        <v>200</v>
      </c>
      <c r="L74" s="273">
        <v>2</v>
      </c>
      <c r="M74" s="178">
        <v>9</v>
      </c>
      <c r="N74" s="151">
        <v>3</v>
      </c>
      <c r="O74" s="152">
        <v>2</v>
      </c>
      <c r="P74" s="152">
        <v>4</v>
      </c>
      <c r="Q74" s="152">
        <v>4</v>
      </c>
      <c r="R74" s="152">
        <v>4</v>
      </c>
      <c r="S74" s="153">
        <v>4</v>
      </c>
      <c r="T74" s="26">
        <v>0.1875</v>
      </c>
      <c r="U74" s="42">
        <f>(SUM($T$9:T74)/$T$4)*100</f>
        <v>88.182132450985236</v>
      </c>
      <c r="V74" s="27" t="s">
        <v>6</v>
      </c>
      <c r="W74" s="27" t="s">
        <v>6</v>
      </c>
      <c r="X74" s="27" t="s">
        <v>6</v>
      </c>
      <c r="Y74" s="27" t="s">
        <v>6</v>
      </c>
      <c r="Z74" s="27" t="s">
        <v>6</v>
      </c>
      <c r="AA74" s="27" t="s">
        <v>6</v>
      </c>
      <c r="AB74" s="27" t="s">
        <v>6</v>
      </c>
      <c r="AC74" s="27" t="s">
        <v>6</v>
      </c>
      <c r="AD74" s="27" t="s">
        <v>6</v>
      </c>
      <c r="AE74" s="159">
        <v>3</v>
      </c>
      <c r="AF74" s="17"/>
      <c r="AG74" s="174">
        <f>R74/SUM($R$9:$R$72)</f>
        <v>1.6194331983805668E-2</v>
      </c>
      <c r="AH74" s="175">
        <f>Master_Data[[#This Row],[Imp. Level]]/SUMIF(Master_Data[Subject],Master_Data[[#This Row],[Subject]],Master_Data[Imp. Level])</f>
        <v>0.13793103448275862</v>
      </c>
      <c r="AI74" s="157">
        <f>Master_Data[[#This Row],[Subjectwise weights]]*Master_Data[[#This Row],[Confidence Level]]</f>
        <v>0.41379310344827586</v>
      </c>
      <c r="AJ74" s="158" t="str">
        <f>IF(AND(Master_Data[[#This Row],[Inst. EOC Ques.]]="D",Master_Data[[#This Row],[Class Test Book]]="D"),"D","U")</f>
        <v>U</v>
      </c>
      <c r="AK74" s="155" t="str">
        <f>IF(AND(Master_Data[[#This Row],[Inst. Online Portal]]="D",Master_Data[[#This Row],[Prac. Book]]="D",Master_Data[[#This Row],[Schweser Prac. Bk 1]]="D",Master_Data[[#This Row],[Schweser Prac. Bk 2]]="D"),"D","U")</f>
        <v>U</v>
      </c>
      <c r="AL74" s="270" t="str">
        <f>IF(AND(Master_Data[[#This Row],[Lectures]]="D",Master_Data[[#This Row],[Self Study]]="D"),Master_Data[[#This Row],[No. of Chapters]],"U")</f>
        <v>U</v>
      </c>
    </row>
    <row r="75" spans="2:38" ht="27" customHeight="1">
      <c r="B75" s="3">
        <v>67</v>
      </c>
      <c r="C75" s="183" t="str">
        <f ca="1">IF(Master_Data[[#This Row],[Column1]]="Done","",IF(Master_Data[[#This Row],[Column1]]=MIN(Master_Data[Column1]),"Current Week",CONCATENATE("Week ",Master_Data[[#This Row],[Column1]])))</f>
        <v>Week 44</v>
      </c>
      <c r="D75" s="3">
        <f ca="1">IF(Master_Data[[#This Row],[Cum. Undone hrs]]=0,"Done",ROUNDUP(Master_Data[[#This Row],[Cum. Undone hrs]]/Working!$C$8,0))</f>
        <v>44</v>
      </c>
      <c r="E75" s="3">
        <f ca="1">IF(OR(D75=D74,D75=D74+1),Master_Data[[#This Row],[Column1]],D75-1)</f>
        <v>44</v>
      </c>
      <c r="F75" s="15">
        <f>SUM($G$9:G75)</f>
        <v>12.680555555555548</v>
      </c>
      <c r="G75" s="26">
        <f>IF(Master_Data[[#This Row],[Lectures]]="D","",Master_Data[[#This Row],[Duration (hh:mm)]])</f>
        <v>0.28055555555555556</v>
      </c>
      <c r="H75" s="2" t="s">
        <v>14</v>
      </c>
      <c r="I75" s="2" t="s">
        <v>234</v>
      </c>
      <c r="J75" s="2" t="s">
        <v>135</v>
      </c>
      <c r="K75" s="44" t="s">
        <v>15</v>
      </c>
      <c r="L75" s="273">
        <v>3</v>
      </c>
      <c r="M75" s="178">
        <v>14</v>
      </c>
      <c r="N75" s="151">
        <v>4</v>
      </c>
      <c r="O75" s="152">
        <v>2</v>
      </c>
      <c r="P75" s="152">
        <v>4</v>
      </c>
      <c r="Q75" s="152">
        <v>4</v>
      </c>
      <c r="R75" s="152">
        <v>3</v>
      </c>
      <c r="S75" s="153">
        <v>4</v>
      </c>
      <c r="T75" s="26">
        <v>0.28055555555555556</v>
      </c>
      <c r="U75" s="42">
        <f>(SUM($T$9:T75)/$T$4)*100</f>
        <v>90.177292705812633</v>
      </c>
      <c r="V75" s="27" t="s">
        <v>6</v>
      </c>
      <c r="W75" s="27" t="s">
        <v>6</v>
      </c>
      <c r="X75" s="27" t="s">
        <v>6</v>
      </c>
      <c r="Y75" s="27" t="s">
        <v>6</v>
      </c>
      <c r="Z75" s="27" t="s">
        <v>6</v>
      </c>
      <c r="AA75" s="27" t="s">
        <v>6</v>
      </c>
      <c r="AB75" s="27" t="s">
        <v>6</v>
      </c>
      <c r="AC75" s="27" t="s">
        <v>6</v>
      </c>
      <c r="AD75" s="27" t="s">
        <v>6</v>
      </c>
      <c r="AE75" s="159">
        <v>2</v>
      </c>
      <c r="AF75" s="17"/>
      <c r="AG75" s="174">
        <f>R75/SUM($R$9:$R$72)</f>
        <v>1.2145748987854251E-2</v>
      </c>
      <c r="AH75" s="175">
        <f>Master_Data[[#This Row],[Imp. Level]]/SUMIF(Master_Data[Subject],Master_Data[[#This Row],[Subject]],Master_Data[Imp. Level])</f>
        <v>0.10344827586206896</v>
      </c>
      <c r="AI75" s="157">
        <f>Master_Data[[#This Row],[Subjectwise weights]]*Master_Data[[#This Row],[Confidence Level]]</f>
        <v>0.20689655172413793</v>
      </c>
      <c r="AJ75" s="158" t="str">
        <f>IF(AND(Master_Data[[#This Row],[Inst. EOC Ques.]]="D",Master_Data[[#This Row],[Class Test Book]]="D"),"D","U")</f>
        <v>U</v>
      </c>
      <c r="AK75" s="155" t="str">
        <f>IF(AND(Master_Data[[#This Row],[Inst. Online Portal]]="D",Master_Data[[#This Row],[Prac. Book]]="D",Master_Data[[#This Row],[Schweser Prac. Bk 1]]="D",Master_Data[[#This Row],[Schweser Prac. Bk 2]]="D"),"D","U")</f>
        <v>U</v>
      </c>
      <c r="AL75" s="270" t="str">
        <f>IF(AND(Master_Data[[#This Row],[Lectures]]="D",Master_Data[[#This Row],[Self Study]]="D"),Master_Data[[#This Row],[No. of Chapters]],"U")</f>
        <v>U</v>
      </c>
    </row>
    <row r="76" spans="2:38" ht="27" customHeight="1">
      <c r="B76" s="3">
        <v>68</v>
      </c>
      <c r="C76" s="183" t="str">
        <f ca="1">IF(Master_Data[[#This Row],[Column1]]="Done","",IF(Master_Data[[#This Row],[Column1]]=MIN(Master_Data[Column1]),"Current Week",CONCATENATE("Week ",Master_Data[[#This Row],[Column1]])))</f>
        <v>Week 44</v>
      </c>
      <c r="D76" s="3">
        <f ca="1">IF(Master_Data[[#This Row],[Cum. Undone hrs]]=0,"Done",ROUNDUP(Master_Data[[#This Row],[Cum. Undone hrs]]/Working!$C$8,0))</f>
        <v>44</v>
      </c>
      <c r="E76" s="3">
        <f ca="1">IF(OR(D76=D75,D76=D75+1),Master_Data[[#This Row],[Column1]],D76-1)</f>
        <v>44</v>
      </c>
      <c r="F76" s="15">
        <f>SUM($G$9:G76)</f>
        <v>12.909722222222214</v>
      </c>
      <c r="G76" s="26">
        <f>IF(Master_Data[[#This Row],[Lectures]]="D","",Master_Data[[#This Row],[Duration (hh:mm)]])</f>
        <v>0.22916666666666666</v>
      </c>
      <c r="H76" s="2" t="s">
        <v>22</v>
      </c>
      <c r="I76" s="2">
        <v>44</v>
      </c>
      <c r="J76" s="2" t="s">
        <v>135</v>
      </c>
      <c r="K76" s="44" t="s">
        <v>211</v>
      </c>
      <c r="L76" s="273">
        <v>1</v>
      </c>
      <c r="M76" s="178">
        <v>5</v>
      </c>
      <c r="N76" s="151">
        <v>3</v>
      </c>
      <c r="O76" s="152">
        <v>1</v>
      </c>
      <c r="P76" s="152">
        <v>2</v>
      </c>
      <c r="Q76" s="152">
        <v>2</v>
      </c>
      <c r="R76" s="152">
        <v>4</v>
      </c>
      <c r="S76" s="153">
        <v>3</v>
      </c>
      <c r="T76" s="26">
        <v>0.22916666666666666</v>
      </c>
      <c r="U76" s="42">
        <f>(SUM($T$9:T76)/$T$4)*100</f>
        <v>91.807002814953833</v>
      </c>
      <c r="V76" s="27" t="s">
        <v>6</v>
      </c>
      <c r="W76" s="27" t="s">
        <v>6</v>
      </c>
      <c r="X76" s="27" t="s">
        <v>6</v>
      </c>
      <c r="Y76" s="27" t="s">
        <v>6</v>
      </c>
      <c r="Z76" s="27" t="s">
        <v>6</v>
      </c>
      <c r="AA76" s="27" t="s">
        <v>6</v>
      </c>
      <c r="AB76" s="27" t="s">
        <v>6</v>
      </c>
      <c r="AC76" s="27" t="s">
        <v>6</v>
      </c>
      <c r="AD76" s="27" t="s">
        <v>6</v>
      </c>
      <c r="AE76" s="159">
        <v>3</v>
      </c>
      <c r="AF76" s="17"/>
      <c r="AG76" s="174">
        <f>R76/SUM($R$9:$R$72)</f>
        <v>1.6194331983805668E-2</v>
      </c>
      <c r="AH76" s="175">
        <f>Master_Data[[#This Row],[Imp. Level]]/SUMIF(Master_Data[Subject],Master_Data[[#This Row],[Subject]],Master_Data[Imp. Level])</f>
        <v>0.12903225806451613</v>
      </c>
      <c r="AI76" s="157">
        <f>Master_Data[[#This Row],[Subjectwise weights]]*Master_Data[[#This Row],[Confidence Level]]</f>
        <v>0.38709677419354838</v>
      </c>
      <c r="AJ76" s="158" t="str">
        <f>IF(AND(Master_Data[[#This Row],[Inst. EOC Ques.]]="D",Master_Data[[#This Row],[Class Test Book]]="D"),"D","U")</f>
        <v>U</v>
      </c>
      <c r="AK76" s="155" t="str">
        <f>IF(AND(Master_Data[[#This Row],[Inst. Online Portal]]="D",Master_Data[[#This Row],[Prac. Book]]="D",Master_Data[[#This Row],[Schweser Prac. Bk 1]]="D",Master_Data[[#This Row],[Schweser Prac. Bk 2]]="D"),"D","U")</f>
        <v>U</v>
      </c>
      <c r="AL76" s="270" t="str">
        <f>IF(AND(Master_Data[[#This Row],[Lectures]]="D",Master_Data[[#This Row],[Self Study]]="D"),Master_Data[[#This Row],[No. of Chapters]],"U")</f>
        <v>U</v>
      </c>
    </row>
    <row r="77" spans="2:38" ht="27" customHeight="1">
      <c r="B77" s="3">
        <v>69</v>
      </c>
      <c r="C77" s="183" t="str">
        <f ca="1">IF(Master_Data[[#This Row],[Column1]]="Done","",IF(Master_Data[[#This Row],[Column1]]=MIN(Master_Data[Column1]),"Current Week",CONCATENATE("Week ",Master_Data[[#This Row],[Column1]])))</f>
        <v>Week 45</v>
      </c>
      <c r="D77" s="3">
        <f ca="1">IF(Master_Data[[#This Row],[Cum. Undone hrs]]=0,"Done",ROUNDUP(Master_Data[[#This Row],[Cum. Undone hrs]]/Working!$C$8,0))</f>
        <v>45</v>
      </c>
      <c r="E77" s="3">
        <f ca="1">IF(OR(D77=D76,D77=D76+1),Master_Data[[#This Row],[Column1]],D77-1)</f>
        <v>45</v>
      </c>
      <c r="F77" s="15">
        <f>SUM($G$9:G77)</f>
        <v>13.081249999999992</v>
      </c>
      <c r="G77" s="26">
        <f>IF(Master_Data[[#This Row],[Lectures]]="D","",Master_Data[[#This Row],[Duration (hh:mm)]])</f>
        <v>0.17152777777777775</v>
      </c>
      <c r="H77" s="2" t="s">
        <v>22</v>
      </c>
      <c r="I77" s="2">
        <v>43</v>
      </c>
      <c r="J77" s="2" t="s">
        <v>135</v>
      </c>
      <c r="K77" s="44" t="s">
        <v>253</v>
      </c>
      <c r="L77" s="273">
        <v>1</v>
      </c>
      <c r="M77" s="178">
        <v>5</v>
      </c>
      <c r="N77" s="151">
        <v>3</v>
      </c>
      <c r="O77" s="152">
        <v>3</v>
      </c>
      <c r="P77" s="152">
        <v>3</v>
      </c>
      <c r="Q77" s="152">
        <v>3</v>
      </c>
      <c r="R77" s="152">
        <v>4</v>
      </c>
      <c r="S77" s="153">
        <v>4</v>
      </c>
      <c r="T77" s="11">
        <v>0.17152777777777775</v>
      </c>
      <c r="U77" s="42">
        <f>(SUM($T$9:T77)/$T$4)*100</f>
        <v>93.0268161390686</v>
      </c>
      <c r="V77" s="27" t="s">
        <v>6</v>
      </c>
      <c r="W77" s="27" t="s">
        <v>6</v>
      </c>
      <c r="X77" s="27" t="s">
        <v>6</v>
      </c>
      <c r="Y77" s="27" t="s">
        <v>6</v>
      </c>
      <c r="Z77" s="27" t="s">
        <v>6</v>
      </c>
      <c r="AA77" s="27" t="s">
        <v>6</v>
      </c>
      <c r="AB77" s="27" t="s">
        <v>6</v>
      </c>
      <c r="AC77" s="27" t="s">
        <v>6</v>
      </c>
      <c r="AD77" s="27" t="s">
        <v>6</v>
      </c>
      <c r="AE77" s="159">
        <v>2</v>
      </c>
      <c r="AF77" s="17"/>
      <c r="AG77" s="174">
        <f>R77/SUM($R$9:$R$72)</f>
        <v>1.6194331983805668E-2</v>
      </c>
      <c r="AH77" s="175">
        <f>Master_Data[[#This Row],[Imp. Level]]/SUMIF(Master_Data[Subject],Master_Data[[#This Row],[Subject]],Master_Data[Imp. Level])</f>
        <v>0.12903225806451613</v>
      </c>
      <c r="AI77" s="157">
        <f>Master_Data[[#This Row],[Subjectwise weights]]*Master_Data[[#This Row],[Confidence Level]]</f>
        <v>0.25806451612903225</v>
      </c>
      <c r="AJ77" s="158" t="str">
        <f>IF(AND(Master_Data[[#This Row],[Inst. EOC Ques.]]="D",Master_Data[[#This Row],[Class Test Book]]="D"),"D","U")</f>
        <v>U</v>
      </c>
      <c r="AK77" s="155" t="str">
        <f>IF(AND(Master_Data[[#This Row],[Inst. Online Portal]]="D",Master_Data[[#This Row],[Prac. Book]]="D",Master_Data[[#This Row],[Schweser Prac. Bk 1]]="D",Master_Data[[#This Row],[Schweser Prac. Bk 2]]="D"),"D","U")</f>
        <v>U</v>
      </c>
      <c r="AL77" s="270" t="str">
        <f>IF(AND(Master_Data[[#This Row],[Lectures]]="D",Master_Data[[#This Row],[Self Study]]="D"),Master_Data[[#This Row],[No. of Chapters]],"U")</f>
        <v>U</v>
      </c>
    </row>
    <row r="78" spans="2:38" ht="27" customHeight="1">
      <c r="B78" s="3">
        <v>70</v>
      </c>
      <c r="C78" s="183" t="str">
        <f ca="1">IF(Master_Data[[#This Row],[Column1]]="Done","",IF(Master_Data[[#This Row],[Column1]]=MIN(Master_Data[Column1]),"Current Week",CONCATENATE("Week ",Master_Data[[#This Row],[Column1]])))</f>
        <v>Week 46</v>
      </c>
      <c r="D78" s="3">
        <f ca="1">IF(Master_Data[[#This Row],[Cum. Undone hrs]]=0,"Done",ROUNDUP(Master_Data[[#This Row],[Cum. Undone hrs]]/Working!$C$8,0))</f>
        <v>46</v>
      </c>
      <c r="E78" s="3">
        <f ca="1">IF(OR(D78=D77,D78=D77+1),Master_Data[[#This Row],[Column1]],D78-1)</f>
        <v>46</v>
      </c>
      <c r="F78" s="15">
        <f>SUM($G$9:G78)</f>
        <v>13.240972222222213</v>
      </c>
      <c r="G78" s="26">
        <f>IF(Master_Data[[#This Row],[Lectures]]="D","",Master_Data[[#This Row],[Duration (hh:mm)]])</f>
        <v>0.15972222222222224</v>
      </c>
      <c r="H78" s="2" t="s">
        <v>22</v>
      </c>
      <c r="I78" s="2">
        <v>45</v>
      </c>
      <c r="J78" s="2" t="s">
        <v>135</v>
      </c>
      <c r="K78" s="44" t="s">
        <v>254</v>
      </c>
      <c r="L78" s="273">
        <v>1</v>
      </c>
      <c r="M78" s="178">
        <v>5</v>
      </c>
      <c r="N78" s="151">
        <v>3</v>
      </c>
      <c r="O78" s="152">
        <v>2</v>
      </c>
      <c r="P78" s="152">
        <v>3</v>
      </c>
      <c r="Q78" s="152">
        <v>3</v>
      </c>
      <c r="R78" s="152">
        <v>4</v>
      </c>
      <c r="S78" s="153">
        <v>4</v>
      </c>
      <c r="T78" s="11">
        <v>0.15972222222222224</v>
      </c>
      <c r="U78" s="42">
        <f>(SUM($T$9:T78)/$T$4)*100</f>
        <v>94.162674699985189</v>
      </c>
      <c r="V78" s="27" t="s">
        <v>6</v>
      </c>
      <c r="W78" s="27" t="s">
        <v>6</v>
      </c>
      <c r="X78" s="27" t="s">
        <v>6</v>
      </c>
      <c r="Y78" s="27" t="s">
        <v>6</v>
      </c>
      <c r="Z78" s="27" t="s">
        <v>6</v>
      </c>
      <c r="AA78" s="27" t="s">
        <v>6</v>
      </c>
      <c r="AB78" s="27" t="s">
        <v>6</v>
      </c>
      <c r="AC78" s="27" t="s">
        <v>6</v>
      </c>
      <c r="AD78" s="27" t="s">
        <v>6</v>
      </c>
      <c r="AE78" s="159">
        <v>2</v>
      </c>
      <c r="AF78" s="17"/>
      <c r="AG78" s="174">
        <f>R78/SUM($R$9:$R$72)</f>
        <v>1.6194331983805668E-2</v>
      </c>
      <c r="AH78" s="176">
        <f>Master_Data[[#This Row],[Imp. Level]]/SUMIF(Master_Data[Subject],Master_Data[[#This Row],[Subject]],Master_Data[Imp. Level])</f>
        <v>0.12903225806451613</v>
      </c>
      <c r="AI78" s="177">
        <f>Master_Data[[#This Row],[Subjectwise weights]]*Master_Data[[#This Row],[Confidence Level]]</f>
        <v>0.25806451612903225</v>
      </c>
      <c r="AJ78" s="155" t="str">
        <f>IF(AND(Master_Data[[#This Row],[Inst. EOC Ques.]]="D",Master_Data[[#This Row],[Class Test Book]]="D"),"D","U")</f>
        <v>U</v>
      </c>
      <c r="AK78" s="155" t="str">
        <f>IF(AND(Master_Data[[#This Row],[Inst. Online Portal]]="D",Master_Data[[#This Row],[Prac. Book]]="D",Master_Data[[#This Row],[Schweser Prac. Bk 1]]="D",Master_Data[[#This Row],[Schweser Prac. Bk 2]]="D"),"D","U")</f>
        <v>U</v>
      </c>
      <c r="AL78" s="270" t="str">
        <f>IF(AND(Master_Data[[#This Row],[Lectures]]="D",Master_Data[[#This Row],[Self Study]]="D"),Master_Data[[#This Row],[No. of Chapters]],"U")</f>
        <v>U</v>
      </c>
    </row>
    <row r="79" spans="2:38" ht="27" customHeight="1">
      <c r="B79" s="3">
        <v>71</v>
      </c>
      <c r="C79" s="183" t="str">
        <f ca="1">IF(Master_Data[[#This Row],[Column1]]="Done","",IF(Master_Data[[#This Row],[Column1]]=MIN(Master_Data[Column1]),"Current Week",CONCATENATE("Week ",Master_Data[[#This Row],[Column1]])))</f>
        <v>Week 47</v>
      </c>
      <c r="D79" s="3">
        <f ca="1">IF(Master_Data[[#This Row],[Cum. Undone hrs]]=0,"Done",ROUNDUP(Master_Data[[#This Row],[Cum. Undone hrs]]/Working!$C$8,0))</f>
        <v>47</v>
      </c>
      <c r="E79" s="3">
        <f ca="1">IF(OR(D79=D78,D79=D78+1),Master_Data[[#This Row],[Column1]],D79-1)</f>
        <v>47</v>
      </c>
      <c r="F79" s="15">
        <f>SUM($G$9:G79)</f>
        <v>13.549999999999992</v>
      </c>
      <c r="G79" s="26">
        <f>IF(Master_Data[[#This Row],[Lectures]]="D","",Master_Data[[#This Row],[Duration (hh:mm)]])</f>
        <v>0.30902777777777779</v>
      </c>
      <c r="H79" s="2" t="s">
        <v>22</v>
      </c>
      <c r="I79" s="2">
        <v>46</v>
      </c>
      <c r="J79" s="2" t="s">
        <v>135</v>
      </c>
      <c r="K79" s="44" t="s">
        <v>255</v>
      </c>
      <c r="L79" s="273">
        <v>1</v>
      </c>
      <c r="M79" s="178">
        <v>13</v>
      </c>
      <c r="N79" s="151">
        <v>5</v>
      </c>
      <c r="O79" s="152">
        <v>4</v>
      </c>
      <c r="P79" s="152">
        <v>4</v>
      </c>
      <c r="Q79" s="152">
        <v>4</v>
      </c>
      <c r="R79" s="152">
        <v>5</v>
      </c>
      <c r="S79" s="153">
        <v>4</v>
      </c>
      <c r="T79" s="179">
        <v>0.30902777777777779</v>
      </c>
      <c r="U79" s="42">
        <f>(SUM($T$9:T79)/$T$4)*100</f>
        <v>96.360314089584676</v>
      </c>
      <c r="V79" s="27" t="s">
        <v>6</v>
      </c>
      <c r="W79" s="27" t="s">
        <v>6</v>
      </c>
      <c r="X79" s="27" t="s">
        <v>6</v>
      </c>
      <c r="Y79" s="27" t="s">
        <v>6</v>
      </c>
      <c r="Z79" s="27" t="s">
        <v>6</v>
      </c>
      <c r="AA79" s="27" t="s">
        <v>6</v>
      </c>
      <c r="AB79" s="27" t="s">
        <v>6</v>
      </c>
      <c r="AC79" s="27" t="s">
        <v>6</v>
      </c>
      <c r="AD79" s="27" t="s">
        <v>6</v>
      </c>
      <c r="AE79" s="159">
        <v>2</v>
      </c>
      <c r="AF79" s="17"/>
      <c r="AG79" s="174">
        <f>R79/SUM($R$9:$R$72)</f>
        <v>2.0242914979757085E-2</v>
      </c>
      <c r="AH79" s="175">
        <f>Master_Data[[#This Row],[Imp. Level]]/SUMIF(Master_Data[Subject],Master_Data[[#This Row],[Subject]],Master_Data[Imp. Level])</f>
        <v>0.16129032258064516</v>
      </c>
      <c r="AI79" s="157">
        <f>Master_Data[[#This Row],[Subjectwise weights]]*Master_Data[[#This Row],[Confidence Level]]</f>
        <v>0.32258064516129031</v>
      </c>
      <c r="AJ79" s="158" t="str">
        <f>IF(AND(Master_Data[[#This Row],[Inst. EOC Ques.]]="D",Master_Data[[#This Row],[Class Test Book]]="D"),"D","U")</f>
        <v>U</v>
      </c>
      <c r="AK79" s="155" t="str">
        <f>IF(AND(Master_Data[[#This Row],[Inst. Online Portal]]="D",Master_Data[[#This Row],[Prac. Book]]="D",Master_Data[[#This Row],[Schweser Prac. Bk 1]]="D",Master_Data[[#This Row],[Schweser Prac. Bk 2]]="D"),"D","U")</f>
        <v>U</v>
      </c>
      <c r="AL79" s="270" t="str">
        <f>IF(AND(Master_Data[[#This Row],[Lectures]]="D",Master_Data[[#This Row],[Self Study]]="D"),Master_Data[[#This Row],[No. of Chapters]],"U")</f>
        <v>U</v>
      </c>
    </row>
    <row r="80" spans="2:38" ht="27" customHeight="1">
      <c r="B80" s="3">
        <v>72</v>
      </c>
      <c r="C80" s="183" t="str">
        <f ca="1">IF(Master_Data[[#This Row],[Column1]]="Done","",IF(Master_Data[[#This Row],[Column1]]=MIN(Master_Data[Column1]),"Current Week",CONCATENATE("Week ",Master_Data[[#This Row],[Column1]])))</f>
        <v>Week 47</v>
      </c>
      <c r="D80" s="3">
        <f ca="1">IF(Master_Data[[#This Row],[Cum. Undone hrs]]=0,"Done",ROUNDUP(Master_Data[[#This Row],[Cum. Undone hrs]]/Working!$C$8,0))</f>
        <v>47</v>
      </c>
      <c r="E80" s="3">
        <f ca="1">IF(OR(D80=D79,D80=D79+1),Master_Data[[#This Row],[Column1]],D80-1)</f>
        <v>47</v>
      </c>
      <c r="F80" s="15">
        <f>SUM($G$9:G80)</f>
        <v>13.756944444444436</v>
      </c>
      <c r="G80" s="26">
        <f>IF(Master_Data[[#This Row],[Lectures]]="D","",Master_Data[[#This Row],[Duration (hh:mm)]])</f>
        <v>0.20694444444444446</v>
      </c>
      <c r="H80" s="2" t="s">
        <v>22</v>
      </c>
      <c r="I80" s="2">
        <v>39</v>
      </c>
      <c r="J80" s="2" t="s">
        <v>135</v>
      </c>
      <c r="K80" s="44" t="s">
        <v>210</v>
      </c>
      <c r="L80" s="273">
        <v>1</v>
      </c>
      <c r="M80" s="178">
        <v>12</v>
      </c>
      <c r="N80" s="151">
        <v>4</v>
      </c>
      <c r="O80" s="152">
        <v>2</v>
      </c>
      <c r="P80" s="152">
        <v>2</v>
      </c>
      <c r="Q80" s="152">
        <v>2</v>
      </c>
      <c r="R80" s="152">
        <v>3</v>
      </c>
      <c r="S80" s="153">
        <v>4</v>
      </c>
      <c r="T80" s="26">
        <v>0.20694444444444446</v>
      </c>
      <c r="U80" s="42">
        <f>(SUM($T$9:T80)/$T$4)*100</f>
        <v>97.831991703293994</v>
      </c>
      <c r="V80" s="27" t="s">
        <v>6</v>
      </c>
      <c r="W80" s="27" t="s">
        <v>6</v>
      </c>
      <c r="X80" s="27" t="s">
        <v>6</v>
      </c>
      <c r="Y80" s="27" t="s">
        <v>6</v>
      </c>
      <c r="Z80" s="27" t="s">
        <v>6</v>
      </c>
      <c r="AA80" s="27" t="s">
        <v>6</v>
      </c>
      <c r="AB80" s="27" t="s">
        <v>6</v>
      </c>
      <c r="AC80" s="27" t="s">
        <v>6</v>
      </c>
      <c r="AD80" s="27" t="s">
        <v>6</v>
      </c>
      <c r="AE80" s="159">
        <v>3</v>
      </c>
      <c r="AF80" s="17"/>
      <c r="AG80" s="174">
        <f>R80/SUM($R$9:$R$72)</f>
        <v>1.2145748987854251E-2</v>
      </c>
      <c r="AH80" s="175">
        <f>Master_Data[[#This Row],[Imp. Level]]/SUMIF(Master_Data[Subject],Master_Data[[#This Row],[Subject]],Master_Data[Imp. Level])</f>
        <v>9.6774193548387094E-2</v>
      </c>
      <c r="AI80" s="157">
        <f>Master_Data[[#This Row],[Subjectwise weights]]*Master_Data[[#This Row],[Confidence Level]]</f>
        <v>0.29032258064516125</v>
      </c>
      <c r="AJ80" s="158" t="str">
        <f>IF(AND(Master_Data[[#This Row],[Inst. EOC Ques.]]="D",Master_Data[[#This Row],[Class Test Book]]="D"),"D","U")</f>
        <v>U</v>
      </c>
      <c r="AK80" s="155" t="str">
        <f>IF(AND(Master_Data[[#This Row],[Inst. Online Portal]]="D",Master_Data[[#This Row],[Prac. Book]]="D",Master_Data[[#This Row],[Schweser Prac. Bk 1]]="D",Master_Data[[#This Row],[Schweser Prac. Bk 2]]="D"),"D","U")</f>
        <v>U</v>
      </c>
      <c r="AL80" s="270" t="str">
        <f>IF(AND(Master_Data[[#This Row],[Lectures]]="D",Master_Data[[#This Row],[Self Study]]="D"),Master_Data[[#This Row],[No. of Chapters]],"U")</f>
        <v>U</v>
      </c>
    </row>
    <row r="81" spans="2:38" ht="27" customHeight="1">
      <c r="B81" s="3">
        <v>73</v>
      </c>
      <c r="C81" s="183" t="str">
        <f ca="1">IF(Master_Data[[#This Row],[Column1]]="Done","",IF(Master_Data[[#This Row],[Column1]]=MIN(Master_Data[Column1]),"Current Week",CONCATENATE("Week ",Master_Data[[#This Row],[Column1]])))</f>
        <v>Week 48</v>
      </c>
      <c r="D81" s="3">
        <f ca="1">IF(Master_Data[[#This Row],[Cum. Undone hrs]]=0,"Done",ROUNDUP(Master_Data[[#This Row],[Cum. Undone hrs]]/Working!$C$8,0))</f>
        <v>48</v>
      </c>
      <c r="E81" s="3">
        <f ca="1">IF(OR(D81=D80,D81=D80+1),Master_Data[[#This Row],[Column1]],D81-1)</f>
        <v>48</v>
      </c>
      <c r="F81" s="15">
        <f>SUM($G$9:G81)</f>
        <v>13.843749999999991</v>
      </c>
      <c r="G81" s="26">
        <f>IF(Master_Data[[#This Row],[Lectures]]="D","",Master_Data[[#This Row],[Duration (hh:mm)]])</f>
        <v>8.6805555555555566E-2</v>
      </c>
      <c r="H81" s="2" t="s">
        <v>22</v>
      </c>
      <c r="I81" s="2">
        <v>42</v>
      </c>
      <c r="J81" s="2" t="s">
        <v>135</v>
      </c>
      <c r="K81" s="44" t="s">
        <v>24</v>
      </c>
      <c r="L81" s="273">
        <v>1</v>
      </c>
      <c r="M81" s="178">
        <v>8</v>
      </c>
      <c r="N81" s="43">
        <v>2</v>
      </c>
      <c r="O81" s="43">
        <v>1</v>
      </c>
      <c r="P81" s="43">
        <v>2</v>
      </c>
      <c r="Q81" s="43">
        <v>1</v>
      </c>
      <c r="R81" s="43">
        <v>3</v>
      </c>
      <c r="S81" s="43">
        <v>4</v>
      </c>
      <c r="T81" s="179">
        <v>8.6805555555555566E-2</v>
      </c>
      <c r="U81" s="42">
        <f>(SUM($T$9:T81)/$T$4)*100</f>
        <v>98.449306138574741</v>
      </c>
      <c r="V81" s="27" t="s">
        <v>6</v>
      </c>
      <c r="W81" s="27" t="s">
        <v>6</v>
      </c>
      <c r="X81" s="27" t="s">
        <v>6</v>
      </c>
      <c r="Y81" s="27" t="s">
        <v>6</v>
      </c>
      <c r="Z81" s="27" t="s">
        <v>6</v>
      </c>
      <c r="AA81" s="27" t="s">
        <v>6</v>
      </c>
      <c r="AB81" s="27" t="s">
        <v>6</v>
      </c>
      <c r="AC81" s="27" t="s">
        <v>6</v>
      </c>
      <c r="AD81" s="27" t="s">
        <v>6</v>
      </c>
      <c r="AE81" s="159">
        <v>2</v>
      </c>
      <c r="AF81" s="17"/>
      <c r="AG81" s="174">
        <f>R81/SUM($R$9:$R$72)</f>
        <v>1.2145748987854251E-2</v>
      </c>
      <c r="AH81" s="175">
        <f>Master_Data[[#This Row],[Imp. Level]]/SUMIF(Master_Data[Subject],Master_Data[[#This Row],[Subject]],Master_Data[Imp. Level])</f>
        <v>9.6774193548387094E-2</v>
      </c>
      <c r="AI81" s="157">
        <f>Master_Data[[#This Row],[Subjectwise weights]]*Master_Data[[#This Row],[Confidence Level]]</f>
        <v>0.19354838709677419</v>
      </c>
      <c r="AJ81" s="158" t="str">
        <f>IF(AND(Master_Data[[#This Row],[Inst. EOC Ques.]]="D",Master_Data[[#This Row],[Class Test Book]]="D"),"D","U")</f>
        <v>U</v>
      </c>
      <c r="AK81" s="155" t="str">
        <f>IF(AND(Master_Data[[#This Row],[Inst. Online Portal]]="D",Master_Data[[#This Row],[Prac. Book]]="D",Master_Data[[#This Row],[Schweser Prac. Bk 1]]="D",Master_Data[[#This Row],[Schweser Prac. Bk 2]]="D"),"D","U")</f>
        <v>U</v>
      </c>
      <c r="AL81" s="270" t="str">
        <f>IF(AND(Master_Data[[#This Row],[Lectures]]="D",Master_Data[[#This Row],[Self Study]]="D"),Master_Data[[#This Row],[No. of Chapters]],"U")</f>
        <v>U</v>
      </c>
    </row>
    <row r="82" spans="2:38" ht="27" customHeight="1">
      <c r="B82" s="3">
        <v>74</v>
      </c>
      <c r="C82" s="183" t="str">
        <f ca="1">IF(Master_Data[[#This Row],[Column1]]="Done","",IF(Master_Data[[#This Row],[Column1]]=MIN(Master_Data[Column1]),"Current Week",CONCATENATE("Week ",Master_Data[[#This Row],[Column1]])))</f>
        <v>Week 48</v>
      </c>
      <c r="D82" s="3">
        <f ca="1">IF(Master_Data[[#This Row],[Cum. Undone hrs]]=0,"Done",ROUNDUP(Master_Data[[#This Row],[Cum. Undone hrs]]/Working!$C$8,0))</f>
        <v>48</v>
      </c>
      <c r="E82" s="3">
        <f ca="1">IF(OR(D82=D81,D82=D81+1),Master_Data[[#This Row],[Column1]],D82-1)</f>
        <v>48</v>
      </c>
      <c r="F82" s="15">
        <f>SUM($G$9:G82)</f>
        <v>13.946527777777769</v>
      </c>
      <c r="G82" s="26">
        <f>IF(Master_Data[[#This Row],[Lectures]]="D","",Master_Data[[#This Row],[Duration (hh:mm)]])</f>
        <v>0.10277777777777779</v>
      </c>
      <c r="H82" s="2" t="s">
        <v>22</v>
      </c>
      <c r="I82" s="2">
        <v>40</v>
      </c>
      <c r="J82" s="2" t="s">
        <v>135</v>
      </c>
      <c r="K82" s="44" t="s">
        <v>131</v>
      </c>
      <c r="L82" s="273">
        <v>1</v>
      </c>
      <c r="M82" s="178">
        <v>11</v>
      </c>
      <c r="N82" s="43">
        <v>3</v>
      </c>
      <c r="O82" s="43">
        <v>4</v>
      </c>
      <c r="P82" s="43">
        <v>4</v>
      </c>
      <c r="Q82" s="43">
        <v>4</v>
      </c>
      <c r="R82" s="43">
        <v>4</v>
      </c>
      <c r="S82" s="43">
        <v>4</v>
      </c>
      <c r="T82" s="26">
        <v>0.10277777777777779</v>
      </c>
      <c r="U82" s="42">
        <f>(SUM($T$9:T82)/$T$4)*100</f>
        <v>99.180206429947162</v>
      </c>
      <c r="V82" s="27" t="s">
        <v>6</v>
      </c>
      <c r="W82" s="27" t="s">
        <v>6</v>
      </c>
      <c r="X82" s="27" t="s">
        <v>6</v>
      </c>
      <c r="Y82" s="27" t="s">
        <v>6</v>
      </c>
      <c r="Z82" s="27" t="s">
        <v>6</v>
      </c>
      <c r="AA82" s="27" t="s">
        <v>6</v>
      </c>
      <c r="AB82" s="27" t="s">
        <v>6</v>
      </c>
      <c r="AC82" s="27" t="s">
        <v>6</v>
      </c>
      <c r="AD82" s="27" t="s">
        <v>6</v>
      </c>
      <c r="AE82" s="159">
        <v>2</v>
      </c>
      <c r="AF82" s="17"/>
      <c r="AG82" s="174">
        <f>R82/SUM($R$9:$R$72)</f>
        <v>1.6194331983805668E-2</v>
      </c>
      <c r="AH82" s="175">
        <f>Master_Data[[#This Row],[Imp. Level]]/SUMIF(Master_Data[Subject],Master_Data[[#This Row],[Subject]],Master_Data[Imp. Level])</f>
        <v>0.12903225806451613</v>
      </c>
      <c r="AI82" s="157">
        <f>Master_Data[[#This Row],[Subjectwise weights]]*Master_Data[[#This Row],[Confidence Level]]</f>
        <v>0.25806451612903225</v>
      </c>
      <c r="AJ82" s="158" t="str">
        <f>IF(AND(Master_Data[[#This Row],[Inst. EOC Ques.]]="D",Master_Data[[#This Row],[Class Test Book]]="D"),"D","U")</f>
        <v>U</v>
      </c>
      <c r="AK82" s="155" t="str">
        <f>IF(AND(Master_Data[[#This Row],[Inst. Online Portal]]="D",Master_Data[[#This Row],[Prac. Book]]="D",Master_Data[[#This Row],[Schweser Prac. Bk 1]]="D",Master_Data[[#This Row],[Schweser Prac. Bk 2]]="D"),"D","U")</f>
        <v>U</v>
      </c>
      <c r="AL82" s="270" t="str">
        <f>IF(AND(Master_Data[[#This Row],[Lectures]]="D",Master_Data[[#This Row],[Self Study]]="D"),Master_Data[[#This Row],[No. of Chapters]],"U")</f>
        <v>U</v>
      </c>
    </row>
    <row r="83" spans="2:38" ht="27" customHeight="1">
      <c r="B83" s="3">
        <v>75</v>
      </c>
      <c r="C83" s="183" t="str">
        <f ca="1">IF(Master_Data[[#This Row],[Column1]]="Done","",IF(Master_Data[[#This Row],[Column1]]=MIN(Master_Data[Column1]),"Current Week",CONCATENATE("Week ",Master_Data[[#This Row],[Column1]])))</f>
        <v>Week 48</v>
      </c>
      <c r="D83" s="3">
        <f ca="1">IF(Master_Data[[#This Row],[Cum. Undone hrs]]=0,"Done",ROUNDUP(Master_Data[[#This Row],[Cum. Undone hrs]]/Working!$C$8,0))</f>
        <v>48</v>
      </c>
      <c r="E83" s="3">
        <f ca="1">IF(OR(D83=D82,D83=D82+1),Master_Data[[#This Row],[Column1]],D83-1)</f>
        <v>48</v>
      </c>
      <c r="F83" s="15">
        <f>SUM($G$9:G83)</f>
        <v>14.060416666666658</v>
      </c>
      <c r="G83" s="26">
        <f>IF(Master_Data[[#This Row],[Lectures]]="D","",Master_Data[[#This Row],[Duration (hh:mm)]])</f>
        <v>0.11388888888888889</v>
      </c>
      <c r="H83" s="2" t="s">
        <v>22</v>
      </c>
      <c r="I83" s="2">
        <v>41</v>
      </c>
      <c r="J83" s="2" t="s">
        <v>135</v>
      </c>
      <c r="K83" s="44" t="s">
        <v>23</v>
      </c>
      <c r="L83" s="273">
        <v>1</v>
      </c>
      <c r="M83" s="178">
        <v>7</v>
      </c>
      <c r="N83" s="151">
        <v>2</v>
      </c>
      <c r="O83" s="152">
        <v>1</v>
      </c>
      <c r="P83" s="152">
        <v>4</v>
      </c>
      <c r="Q83" s="152">
        <v>3</v>
      </c>
      <c r="R83" s="152">
        <v>4</v>
      </c>
      <c r="S83" s="153">
        <v>4</v>
      </c>
      <c r="T83" s="26">
        <v>0.11388888888888889</v>
      </c>
      <c r="U83" s="42">
        <f>(SUM($T$9:T83)/$T$4)*100</f>
        <v>99.990122969035511</v>
      </c>
      <c r="V83" s="27" t="s">
        <v>6</v>
      </c>
      <c r="W83" s="27" t="s">
        <v>6</v>
      </c>
      <c r="X83" s="27" t="s">
        <v>6</v>
      </c>
      <c r="Y83" s="27" t="s">
        <v>6</v>
      </c>
      <c r="Z83" s="27" t="s">
        <v>6</v>
      </c>
      <c r="AA83" s="27" t="s">
        <v>6</v>
      </c>
      <c r="AB83" s="27" t="s">
        <v>6</v>
      </c>
      <c r="AC83" s="27" t="s">
        <v>6</v>
      </c>
      <c r="AD83" s="27" t="s">
        <v>6</v>
      </c>
      <c r="AE83" s="159">
        <v>3</v>
      </c>
      <c r="AF83" s="17"/>
      <c r="AG83" s="174">
        <f>R83/SUM($R$9:$R$72)</f>
        <v>1.6194331983805668E-2</v>
      </c>
      <c r="AH83" s="175">
        <f>Master_Data[[#This Row],[Imp. Level]]/SUMIF(Master_Data[Subject],Master_Data[[#This Row],[Subject]],Master_Data[Imp. Level])</f>
        <v>0.12903225806451613</v>
      </c>
      <c r="AI83" s="157">
        <f>Master_Data[[#This Row],[Subjectwise weights]]*Master_Data[[#This Row],[Confidence Level]]</f>
        <v>0.38709677419354838</v>
      </c>
      <c r="AJ83" s="158" t="str">
        <f>IF(AND(Master_Data[[#This Row],[Inst. EOC Ques.]]="D",Master_Data[[#This Row],[Class Test Book]]="D"),"D","U")</f>
        <v>U</v>
      </c>
      <c r="AK83" s="155" t="str">
        <f>IF(AND(Master_Data[[#This Row],[Inst. Online Portal]]="D",Master_Data[[#This Row],[Prac. Book]]="D",Master_Data[[#This Row],[Schweser Prac. Bk 1]]="D",Master_Data[[#This Row],[Schweser Prac. Bk 2]]="D"),"D","U")</f>
        <v>U</v>
      </c>
      <c r="AL83" s="270" t="str">
        <f>IF(AND(Master_Data[[#This Row],[Lectures]]="D",Master_Data[[#This Row],[Self Study]]="D"),Master_Data[[#This Row],[No. of Chapters]],"U")</f>
        <v>U</v>
      </c>
    </row>
    <row r="84" spans="2:38" ht="27" customHeight="1">
      <c r="B84" s="3">
        <v>76</v>
      </c>
      <c r="C84" s="183" t="str">
        <f ca="1">IF(Master_Data[[#This Row],[Column1]]="Done","",IF(Master_Data[[#This Row],[Column1]]=MIN(Master_Data[Column1]),"Current Week",CONCATENATE("Week ",Master_Data[[#This Row],[Column1]])))</f>
        <v>Week 48</v>
      </c>
      <c r="D84" s="3">
        <f ca="1">IF(Master_Data[[#This Row],[Cum. Undone hrs]]=0,"Done",ROUNDUP(Master_Data[[#This Row],[Cum. Undone hrs]]/Working!$C$8,0))</f>
        <v>48</v>
      </c>
      <c r="E84" s="3">
        <f ca="1">IF(OR(D84=D83,D84=D83+1),Master_Data[[#This Row],[Column1]],D84-1)</f>
        <v>48</v>
      </c>
      <c r="F84" s="15">
        <f>SUM($G$9:G84)</f>
        <v>14.061805555555546</v>
      </c>
      <c r="G84" s="26">
        <f>IF(Master_Data[[#This Row],[Lectures]]="D","",Master_Data[[#This Row],[Duration (hh:mm)]])</f>
        <v>1.3888888888888889E-3</v>
      </c>
      <c r="H84" s="2" t="s">
        <v>9</v>
      </c>
      <c r="I84" s="2">
        <v>2</v>
      </c>
      <c r="J84" s="2" t="s">
        <v>135</v>
      </c>
      <c r="K84" s="44" t="s">
        <v>195</v>
      </c>
      <c r="L84" s="273">
        <v>1</v>
      </c>
      <c r="M84" s="178">
        <v>3</v>
      </c>
      <c r="N84" s="151">
        <v>4</v>
      </c>
      <c r="O84" s="152">
        <v>5</v>
      </c>
      <c r="P84" s="152">
        <v>4</v>
      </c>
      <c r="Q84" s="152">
        <v>5</v>
      </c>
      <c r="R84" s="152">
        <v>5</v>
      </c>
      <c r="S84" s="153">
        <v>4</v>
      </c>
      <c r="T84" s="11">
        <v>1.3888888888888889E-3</v>
      </c>
      <c r="U84" s="42">
        <f>(SUM($T$9:T84)/$T$4)*100</f>
        <v>100</v>
      </c>
      <c r="V84" s="27" t="s">
        <v>6</v>
      </c>
      <c r="W84" s="27" t="s">
        <v>6</v>
      </c>
      <c r="X84" s="27" t="s">
        <v>6</v>
      </c>
      <c r="Y84" s="27" t="s">
        <v>6</v>
      </c>
      <c r="Z84" s="27" t="s">
        <v>6</v>
      </c>
      <c r="AA84" s="27" t="s">
        <v>6</v>
      </c>
      <c r="AB84" s="27" t="s">
        <v>6</v>
      </c>
      <c r="AC84" s="27" t="s">
        <v>6</v>
      </c>
      <c r="AD84" s="27" t="s">
        <v>6</v>
      </c>
      <c r="AE84" s="159">
        <v>2</v>
      </c>
      <c r="AF84" s="17"/>
      <c r="AG84" s="174">
        <f>R84/SUM($R$9:$R$72)</f>
        <v>2.0242914979757085E-2</v>
      </c>
      <c r="AH84" s="175">
        <f>Master_Data[[#This Row],[Imp. Level]]/SUMIF(Master_Data[Subject],Master_Data[[#This Row],[Subject]],Master_Data[Imp. Level])</f>
        <v>0.11363636363636363</v>
      </c>
      <c r="AI84" s="157">
        <f>Master_Data[[#This Row],[Subjectwise weights]]*Master_Data[[#This Row],[Confidence Level]]</f>
        <v>0.22727272727272727</v>
      </c>
      <c r="AJ84" s="158" t="str">
        <f>IF(AND(Master_Data[[#This Row],[Inst. EOC Ques.]]="D",Master_Data[[#This Row],[Class Test Book]]="D"),"D","U")</f>
        <v>U</v>
      </c>
      <c r="AK84" s="155" t="str">
        <f>IF(AND(Master_Data[[#This Row],[Inst. Online Portal]]="D",Master_Data[[#This Row],[Prac. Book]]="D",Master_Data[[#This Row],[Schweser Prac. Bk 1]]="D",Master_Data[[#This Row],[Schweser Prac. Bk 2]]="D"),"D","U")</f>
        <v>U</v>
      </c>
      <c r="AL84" s="270" t="str">
        <f>IF(AND(Master_Data[[#This Row],[Lectures]]="D",Master_Data[[#This Row],[Self Study]]="D"),Master_Data[[#This Row],[No. of Chapters]],"U")</f>
        <v>U</v>
      </c>
    </row>
  </sheetData>
  <sheetProtection algorithmName="SHA-512" hashValue="1KnP0m+9dSNABLCChVSewdSlieGKKfFtPVyKD7Wx/71/AZDcPCYd5FC/BpCWaN+jNf9499ofeDvmDdqaF/8Qsg==" saltValue="Ng/uBL7B+IbLglbX6WAldA==" spinCount="100000" sheet="1" selectLockedCells="1"/>
  <mergeCells count="3">
    <mergeCell ref="B4:Q5"/>
    <mergeCell ref="R4:S4"/>
    <mergeCell ref="R5:S5"/>
  </mergeCells>
  <phoneticPr fontId="31" type="noConversion"/>
  <conditionalFormatting sqref="C9:C84">
    <cfRule type="containsText" dxfId="27" priority="6" operator="containsText" text="Current Week">
      <formula>NOT(ISERROR(SEARCH("Current Week",C9)))</formula>
    </cfRule>
  </conditionalFormatting>
  <conditionalFormatting sqref="K9:L84">
    <cfRule type="expression" dxfId="26" priority="30">
      <formula>$J9="changes"</formula>
    </cfRule>
    <cfRule type="expression" dxfId="25" priority="31">
      <formula>$J9="new"</formula>
    </cfRule>
  </conditionalFormatting>
  <conditionalFormatting sqref="T4:T5">
    <cfRule type="dataBar" priority="16">
      <dataBar>
        <cfvo type="min"/>
        <cfvo type="max"/>
        <color theme="0" tint="-0.14999847407452621"/>
      </dataBar>
      <extLst>
        <ext xmlns:x14="http://schemas.microsoft.com/office/spreadsheetml/2009/9/main" uri="{B025F937-C7B1-47D3-B67F-A62EFF666E3E}">
          <x14:id>{E4A8D60C-94AF-41F5-AC8E-3BEE7C7A919E}</x14:id>
        </ext>
      </extLst>
    </cfRule>
  </conditionalFormatting>
  <conditionalFormatting sqref="U4:U5">
    <cfRule type="dataBar" priority="17">
      <dataBar>
        <cfvo type="min"/>
        <cfvo type="max"/>
        <color theme="0" tint="-0.14999847407452621"/>
      </dataBar>
      <extLst>
        <ext xmlns:x14="http://schemas.microsoft.com/office/spreadsheetml/2009/9/main" uri="{B025F937-C7B1-47D3-B67F-A62EFF666E3E}">
          <x14:id>{53AFC59F-8A2D-4DA2-86C0-21A15848E0DE}</x14:id>
        </ext>
      </extLst>
    </cfRule>
  </conditionalFormatting>
  <conditionalFormatting sqref="V4:V5">
    <cfRule type="dataBar" priority="26">
      <dataBar>
        <cfvo type="min"/>
        <cfvo type="max"/>
        <color theme="0" tint="-0.14999847407452621"/>
      </dataBar>
      <extLst>
        <ext xmlns:x14="http://schemas.microsoft.com/office/spreadsheetml/2009/9/main" uri="{B025F937-C7B1-47D3-B67F-A62EFF666E3E}">
          <x14:id>{F9B9F512-9F8C-444B-B3E0-623FD50240CF}</x14:id>
        </ext>
      </extLst>
    </cfRule>
  </conditionalFormatting>
  <conditionalFormatting sqref="V9:AD84">
    <cfRule type="containsText" dxfId="24" priority="14" operator="containsText" text="D">
      <formula>NOT(ISERROR(SEARCH("D",V9)))</formula>
    </cfRule>
    <cfRule type="containsText" dxfId="23" priority="15" operator="containsText" text="U">
      <formula>NOT(ISERROR(SEARCH("U",V9)))</formula>
    </cfRule>
  </conditionalFormatting>
  <conditionalFormatting sqref="W4:W5">
    <cfRule type="dataBar" priority="25">
      <dataBar>
        <cfvo type="min"/>
        <cfvo type="max"/>
        <color theme="0" tint="-0.14999847407452621"/>
      </dataBar>
      <extLst>
        <ext xmlns:x14="http://schemas.microsoft.com/office/spreadsheetml/2009/9/main" uri="{B025F937-C7B1-47D3-B67F-A62EFF666E3E}">
          <x14:id>{7BACE057-40E3-444D-B25D-77228132D086}</x14:id>
        </ext>
      </extLst>
    </cfRule>
  </conditionalFormatting>
  <conditionalFormatting sqref="X4:X5">
    <cfRule type="dataBar" priority="24">
      <dataBar>
        <cfvo type="min"/>
        <cfvo type="max"/>
        <color theme="0" tint="-0.14999847407452621"/>
      </dataBar>
      <extLst>
        <ext xmlns:x14="http://schemas.microsoft.com/office/spreadsheetml/2009/9/main" uri="{B025F937-C7B1-47D3-B67F-A62EFF666E3E}">
          <x14:id>{4265BF65-A0B5-4DF7-B865-7BD036217E09}</x14:id>
        </ext>
      </extLst>
    </cfRule>
  </conditionalFormatting>
  <conditionalFormatting sqref="Y4:Y5">
    <cfRule type="dataBar" priority="23">
      <dataBar>
        <cfvo type="min"/>
        <cfvo type="max"/>
        <color theme="0" tint="-0.14999847407452621"/>
      </dataBar>
      <extLst>
        <ext xmlns:x14="http://schemas.microsoft.com/office/spreadsheetml/2009/9/main" uri="{B025F937-C7B1-47D3-B67F-A62EFF666E3E}">
          <x14:id>{9BE8110B-EB62-4E75-A581-7C36645F8D08}</x14:id>
        </ext>
      </extLst>
    </cfRule>
  </conditionalFormatting>
  <conditionalFormatting sqref="Z4:Z5">
    <cfRule type="dataBar" priority="22">
      <dataBar>
        <cfvo type="min"/>
        <cfvo type="max"/>
        <color theme="0" tint="-0.14999847407452621"/>
      </dataBar>
      <extLst>
        <ext xmlns:x14="http://schemas.microsoft.com/office/spreadsheetml/2009/9/main" uri="{B025F937-C7B1-47D3-B67F-A62EFF666E3E}">
          <x14:id>{0C9CC41A-4CB7-439E-A820-B1DE49759853}</x14:id>
        </ext>
      </extLst>
    </cfRule>
  </conditionalFormatting>
  <conditionalFormatting sqref="AA4:AA5">
    <cfRule type="dataBar" priority="21">
      <dataBar>
        <cfvo type="min"/>
        <cfvo type="max"/>
        <color theme="0" tint="-0.14999847407452621"/>
      </dataBar>
      <extLst>
        <ext xmlns:x14="http://schemas.microsoft.com/office/spreadsheetml/2009/9/main" uri="{B025F937-C7B1-47D3-B67F-A62EFF666E3E}">
          <x14:id>{20181D46-869C-471E-A172-D176686E8640}</x14:id>
        </ext>
      </extLst>
    </cfRule>
  </conditionalFormatting>
  <conditionalFormatting sqref="AB4:AB5">
    <cfRule type="dataBar" priority="20">
      <dataBar>
        <cfvo type="min"/>
        <cfvo type="max"/>
        <color theme="0" tint="-0.14999847407452621"/>
      </dataBar>
      <extLst>
        <ext xmlns:x14="http://schemas.microsoft.com/office/spreadsheetml/2009/9/main" uri="{B025F937-C7B1-47D3-B67F-A62EFF666E3E}">
          <x14:id>{4CDC2B86-CC25-4CF5-A99D-ACB0BBBCBF67}</x14:id>
        </ext>
      </extLst>
    </cfRule>
  </conditionalFormatting>
  <conditionalFormatting sqref="AC4:AC5">
    <cfRule type="dataBar" priority="19">
      <dataBar>
        <cfvo type="min"/>
        <cfvo type="max"/>
        <color theme="0" tint="-0.14999847407452621"/>
      </dataBar>
      <extLst>
        <ext xmlns:x14="http://schemas.microsoft.com/office/spreadsheetml/2009/9/main" uri="{B025F937-C7B1-47D3-B67F-A62EFF666E3E}">
          <x14:id>{F3B30793-9FEE-47F2-84CD-ACA8C05704FA}</x14:id>
        </ext>
      </extLst>
    </cfRule>
  </conditionalFormatting>
  <conditionalFormatting sqref="AD4:AD5">
    <cfRule type="dataBar" priority="18">
      <dataBar>
        <cfvo type="min"/>
        <cfvo type="max"/>
        <color theme="0" tint="-0.14999847407452621"/>
      </dataBar>
      <extLst>
        <ext xmlns:x14="http://schemas.microsoft.com/office/spreadsheetml/2009/9/main" uri="{B025F937-C7B1-47D3-B67F-A62EFF666E3E}">
          <x14:id>{7D297F2C-EECD-492F-B384-F2E5B1B705BF}</x14:id>
        </ext>
      </extLst>
    </cfRule>
  </conditionalFormatting>
  <conditionalFormatting sqref="AE4:AE5">
    <cfRule type="dataBar" priority="2">
      <dataBar>
        <cfvo type="min"/>
        <cfvo type="max"/>
        <color theme="0" tint="-0.14999847407452621"/>
      </dataBar>
      <extLst>
        <ext xmlns:x14="http://schemas.microsoft.com/office/spreadsheetml/2009/9/main" uri="{B025F937-C7B1-47D3-B67F-A62EFF666E3E}">
          <x14:id>{BD2A8453-D315-4396-A5BF-45134448A47A}</x14:id>
        </ext>
      </extLst>
    </cfRule>
  </conditionalFormatting>
  <conditionalFormatting sqref="AH9:AH68">
    <cfRule type="expression" dxfId="22" priority="8">
      <formula>#REF!="C"</formula>
    </cfRule>
    <cfRule type="expression" dxfId="21" priority="9">
      <formula>#REF!="B"</formula>
    </cfRule>
    <cfRule type="expression" dxfId="20" priority="10">
      <formula>#REF!="A"</formula>
    </cfRule>
  </conditionalFormatting>
  <conditionalFormatting sqref="M9:M84">
    <cfRule type="colorScale" priority="219">
      <colorScale>
        <cfvo type="min"/>
        <cfvo type="max"/>
        <color theme="2" tint="-9.9978637043366805E-2"/>
        <color theme="2" tint="-0.749992370372631"/>
      </colorScale>
    </cfRule>
  </conditionalFormatting>
  <conditionalFormatting sqref="N9:S84">
    <cfRule type="colorScale" priority="221">
      <colorScale>
        <cfvo type="min"/>
        <cfvo type="max"/>
        <color theme="0"/>
        <color theme="0" tint="-0.14999847407452621"/>
      </colorScale>
    </cfRule>
  </conditionalFormatting>
  <conditionalFormatting sqref="T9:T84">
    <cfRule type="colorScale" priority="223">
      <colorScale>
        <cfvo type="min"/>
        <cfvo type="max"/>
        <color theme="0"/>
        <color theme="7" tint="0.39997558519241921"/>
      </colorScale>
    </cfRule>
  </conditionalFormatting>
  <conditionalFormatting sqref="U9:U84">
    <cfRule type="dataBar" priority="225">
      <dataBar>
        <cfvo type="min"/>
        <cfvo type="max"/>
        <color theme="7" tint="0.39997558519241921"/>
      </dataBar>
      <extLst>
        <ext xmlns:x14="http://schemas.microsoft.com/office/spreadsheetml/2009/9/main" uri="{B025F937-C7B1-47D3-B67F-A62EFF666E3E}">
          <x14:id>{614AF0CC-EB9B-4C9C-8C78-FCAD106B4EBE}</x14:id>
        </ext>
      </extLst>
    </cfRule>
  </conditionalFormatting>
  <conditionalFormatting sqref="AE9:AE84">
    <cfRule type="colorScale" priority="231">
      <colorScale>
        <cfvo type="min"/>
        <cfvo type="max"/>
        <color theme="0"/>
        <color theme="0" tint="-0.14999847407452621"/>
      </colorScale>
    </cfRule>
  </conditionalFormatting>
  <dataValidations count="2">
    <dataValidation type="list" allowBlank="1" showInputMessage="1" sqref="V9:AD84" xr:uid="{7DA91DE3-604C-4412-B794-4F4D3EC10586}">
      <formula1>"U,D"</formula1>
    </dataValidation>
    <dataValidation type="whole" allowBlank="1" showInputMessage="1" showErrorMessage="1" errorTitle="Confidence Level" error="Please Rate your Confidence Level on the Scale of 1-5." sqref="AE9:AE84" xr:uid="{6CB7B2CB-1406-4433-95D0-2AC9E3606557}">
      <formula1>1</formula1>
      <formula2>5</formula2>
    </dataValidation>
  </dataValidations>
  <pageMargins left="0.7" right="0.7" top="0.75" bottom="0.75" header="0.3" footer="0.3"/>
  <pageSetup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4A8D60C-94AF-41F5-AC8E-3BEE7C7A919E}">
            <x14:dataBar minLength="0" maxLength="100" gradient="0">
              <x14:cfvo type="autoMin"/>
              <x14:cfvo type="autoMax"/>
              <x14:negativeFillColor rgb="FFFF0000"/>
              <x14:axisColor rgb="FF000000"/>
            </x14:dataBar>
          </x14:cfRule>
          <xm:sqref>T4:T5</xm:sqref>
        </x14:conditionalFormatting>
        <x14:conditionalFormatting xmlns:xm="http://schemas.microsoft.com/office/excel/2006/main">
          <x14:cfRule type="dataBar" id="{53AFC59F-8A2D-4DA2-86C0-21A15848E0DE}">
            <x14:dataBar minLength="0" maxLength="100" gradient="0">
              <x14:cfvo type="autoMin"/>
              <x14:cfvo type="autoMax"/>
              <x14:negativeFillColor rgb="FFFF0000"/>
              <x14:axisColor rgb="FF000000"/>
            </x14:dataBar>
          </x14:cfRule>
          <xm:sqref>U4:U5</xm:sqref>
        </x14:conditionalFormatting>
        <x14:conditionalFormatting xmlns:xm="http://schemas.microsoft.com/office/excel/2006/main">
          <x14:cfRule type="dataBar" id="{F9B9F512-9F8C-444B-B3E0-623FD50240CF}">
            <x14:dataBar minLength="0" maxLength="100" gradient="0">
              <x14:cfvo type="autoMin"/>
              <x14:cfvo type="autoMax"/>
              <x14:negativeFillColor rgb="FFFF0000"/>
              <x14:axisColor rgb="FF000000"/>
            </x14:dataBar>
          </x14:cfRule>
          <xm:sqref>V4:V5</xm:sqref>
        </x14:conditionalFormatting>
        <x14:conditionalFormatting xmlns:xm="http://schemas.microsoft.com/office/excel/2006/main">
          <x14:cfRule type="dataBar" id="{7BACE057-40E3-444D-B25D-77228132D086}">
            <x14:dataBar minLength="0" maxLength="100" gradient="0">
              <x14:cfvo type="autoMin"/>
              <x14:cfvo type="autoMax"/>
              <x14:negativeFillColor rgb="FFFF0000"/>
              <x14:axisColor rgb="FF000000"/>
            </x14:dataBar>
          </x14:cfRule>
          <xm:sqref>W4:W5</xm:sqref>
        </x14:conditionalFormatting>
        <x14:conditionalFormatting xmlns:xm="http://schemas.microsoft.com/office/excel/2006/main">
          <x14:cfRule type="dataBar" id="{4265BF65-A0B5-4DF7-B865-7BD036217E09}">
            <x14:dataBar minLength="0" maxLength="100" gradient="0">
              <x14:cfvo type="autoMin"/>
              <x14:cfvo type="autoMax"/>
              <x14:negativeFillColor rgb="FFFF0000"/>
              <x14:axisColor rgb="FF000000"/>
            </x14:dataBar>
          </x14:cfRule>
          <xm:sqref>X4:X5</xm:sqref>
        </x14:conditionalFormatting>
        <x14:conditionalFormatting xmlns:xm="http://schemas.microsoft.com/office/excel/2006/main">
          <x14:cfRule type="dataBar" id="{9BE8110B-EB62-4E75-A581-7C36645F8D08}">
            <x14:dataBar minLength="0" maxLength="100" gradient="0">
              <x14:cfvo type="autoMin"/>
              <x14:cfvo type="autoMax"/>
              <x14:negativeFillColor rgb="FFFF0000"/>
              <x14:axisColor rgb="FF000000"/>
            </x14:dataBar>
          </x14:cfRule>
          <xm:sqref>Y4:Y5</xm:sqref>
        </x14:conditionalFormatting>
        <x14:conditionalFormatting xmlns:xm="http://schemas.microsoft.com/office/excel/2006/main">
          <x14:cfRule type="dataBar" id="{0C9CC41A-4CB7-439E-A820-B1DE49759853}">
            <x14:dataBar minLength="0" maxLength="100" gradient="0">
              <x14:cfvo type="autoMin"/>
              <x14:cfvo type="autoMax"/>
              <x14:negativeFillColor rgb="FFFF0000"/>
              <x14:axisColor rgb="FF000000"/>
            </x14:dataBar>
          </x14:cfRule>
          <xm:sqref>Z4:Z5</xm:sqref>
        </x14:conditionalFormatting>
        <x14:conditionalFormatting xmlns:xm="http://schemas.microsoft.com/office/excel/2006/main">
          <x14:cfRule type="dataBar" id="{20181D46-869C-471E-A172-D176686E8640}">
            <x14:dataBar minLength="0" maxLength="100" gradient="0">
              <x14:cfvo type="autoMin"/>
              <x14:cfvo type="autoMax"/>
              <x14:negativeFillColor rgb="FFFF0000"/>
              <x14:axisColor rgb="FF000000"/>
            </x14:dataBar>
          </x14:cfRule>
          <xm:sqref>AA4:AA5</xm:sqref>
        </x14:conditionalFormatting>
        <x14:conditionalFormatting xmlns:xm="http://schemas.microsoft.com/office/excel/2006/main">
          <x14:cfRule type="dataBar" id="{4CDC2B86-CC25-4CF5-A99D-ACB0BBBCBF67}">
            <x14:dataBar minLength="0" maxLength="100" gradient="0">
              <x14:cfvo type="autoMin"/>
              <x14:cfvo type="autoMax"/>
              <x14:negativeFillColor rgb="FFFF0000"/>
              <x14:axisColor rgb="FF000000"/>
            </x14:dataBar>
          </x14:cfRule>
          <xm:sqref>AB4:AB5</xm:sqref>
        </x14:conditionalFormatting>
        <x14:conditionalFormatting xmlns:xm="http://schemas.microsoft.com/office/excel/2006/main">
          <x14:cfRule type="dataBar" id="{F3B30793-9FEE-47F2-84CD-ACA8C05704FA}">
            <x14:dataBar minLength="0" maxLength="100" gradient="0">
              <x14:cfvo type="autoMin"/>
              <x14:cfvo type="autoMax"/>
              <x14:negativeFillColor rgb="FFFF0000"/>
              <x14:axisColor rgb="FF000000"/>
            </x14:dataBar>
          </x14:cfRule>
          <xm:sqref>AC4:AC5</xm:sqref>
        </x14:conditionalFormatting>
        <x14:conditionalFormatting xmlns:xm="http://schemas.microsoft.com/office/excel/2006/main">
          <x14:cfRule type="dataBar" id="{7D297F2C-EECD-492F-B384-F2E5B1B705BF}">
            <x14:dataBar minLength="0" maxLength="100" gradient="0">
              <x14:cfvo type="autoMin"/>
              <x14:cfvo type="autoMax"/>
              <x14:negativeFillColor rgb="FFFF0000"/>
              <x14:axisColor rgb="FF000000"/>
            </x14:dataBar>
          </x14:cfRule>
          <xm:sqref>AD4:AD5</xm:sqref>
        </x14:conditionalFormatting>
        <x14:conditionalFormatting xmlns:xm="http://schemas.microsoft.com/office/excel/2006/main">
          <x14:cfRule type="dataBar" id="{BD2A8453-D315-4396-A5BF-45134448A47A}">
            <x14:dataBar minLength="0" maxLength="100" gradient="0">
              <x14:cfvo type="autoMin"/>
              <x14:cfvo type="autoMax"/>
              <x14:negativeFillColor rgb="FFFF0000"/>
              <x14:axisColor rgb="FF000000"/>
            </x14:dataBar>
          </x14:cfRule>
          <xm:sqref>AE4:AE5</xm:sqref>
        </x14:conditionalFormatting>
        <x14:conditionalFormatting xmlns:xm="http://schemas.microsoft.com/office/excel/2006/main">
          <x14:cfRule type="dataBar" id="{614AF0CC-EB9B-4C9C-8C78-FCAD106B4EBE}">
            <x14:dataBar minLength="0" maxLength="100" gradient="0">
              <x14:cfvo type="autoMin"/>
              <x14:cfvo type="autoMax"/>
              <x14:negativeFillColor rgb="FFFF0000"/>
              <x14:axisColor rgb="FF000000"/>
            </x14:dataBar>
          </x14:cfRule>
          <xm:sqref>U9:U84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5" tint="0.39997558519241921"/>
  </sheetPr>
  <dimension ref="B1:AM91"/>
  <sheetViews>
    <sheetView showGridLines="0" topLeftCell="A4" zoomScale="70" zoomScaleNormal="70" workbookViewId="0">
      <selection activeCell="B5" sqref="B5:Q6"/>
    </sheetView>
  </sheetViews>
  <sheetFormatPr defaultColWidth="9.140625" defaultRowHeight="15.75"/>
  <cols>
    <col min="1" max="1" width="9.140625" style="28"/>
    <col min="2" max="2" width="3.42578125" style="28" customWidth="1"/>
    <col min="3" max="3" width="23.85546875" style="28" customWidth="1"/>
    <col min="4" max="4" width="12.140625" style="28" customWidth="1"/>
    <col min="5" max="5" width="9.85546875" style="28" customWidth="1"/>
    <col min="6" max="6" width="11.7109375" style="28" hidden="1" customWidth="1"/>
    <col min="7" max="7" width="10.5703125" style="28" customWidth="1"/>
    <col min="8" max="8" width="10.7109375" style="28" customWidth="1"/>
    <col min="9" max="13" width="10.7109375" style="29" customWidth="1"/>
    <col min="14" max="14" width="12.28515625" style="29" customWidth="1"/>
    <col min="15" max="15" width="10.5703125" style="28" customWidth="1"/>
    <col min="16" max="16" width="9.140625" style="30"/>
    <col min="17" max="17" width="10.28515625" style="30" customWidth="1"/>
    <col min="18" max="18" width="12" style="30" customWidth="1"/>
    <col min="19" max="19" width="4.42578125" style="30" customWidth="1"/>
    <col min="20" max="20" width="11.5703125" style="30" customWidth="1"/>
    <col min="21" max="21" width="17.140625" style="30" bestFit="1" customWidth="1"/>
    <col min="22" max="29" width="9.140625" style="30"/>
    <col min="30" max="16384" width="9.140625" style="28"/>
  </cols>
  <sheetData>
    <row r="1" spans="2:23" ht="8.4499999999999993" customHeight="1"/>
    <row r="2" spans="2:23" s="76" customFormat="1" ht="15.75" customHeight="1">
      <c r="C2" s="291" t="s">
        <v>8</v>
      </c>
      <c r="D2" s="291"/>
      <c r="E2" s="291"/>
      <c r="F2" s="291"/>
      <c r="G2" s="291"/>
      <c r="H2" s="291"/>
      <c r="I2" s="291"/>
      <c r="J2" s="291"/>
      <c r="K2" s="291"/>
      <c r="L2" s="291"/>
      <c r="M2" s="291"/>
      <c r="N2" s="291"/>
      <c r="O2" s="291"/>
    </row>
    <row r="3" spans="2:23" s="76" customFormat="1" ht="11.45" customHeight="1">
      <c r="C3" s="291"/>
      <c r="D3" s="291"/>
      <c r="E3" s="291"/>
      <c r="F3" s="291"/>
      <c r="G3" s="291"/>
      <c r="H3" s="291"/>
      <c r="I3" s="291"/>
      <c r="J3" s="291"/>
      <c r="K3" s="291"/>
      <c r="L3" s="291"/>
      <c r="M3" s="291"/>
      <c r="N3" s="291"/>
      <c r="O3" s="291"/>
    </row>
    <row r="4" spans="2:23" s="30" customFormat="1" ht="11.45" customHeight="1">
      <c r="C4" s="55"/>
      <c r="D4" s="55"/>
      <c r="E4" s="55"/>
      <c r="F4" s="55"/>
      <c r="G4" s="55"/>
      <c r="H4" s="55"/>
      <c r="I4" s="55"/>
      <c r="J4" s="55"/>
      <c r="K4" s="55"/>
      <c r="L4" s="55"/>
      <c r="M4" s="55"/>
      <c r="N4" s="55"/>
      <c r="O4" s="55"/>
    </row>
    <row r="5" spans="2:23" s="30" customFormat="1" ht="11.45" customHeight="1">
      <c r="B5" s="299" t="str">
        <f>CONCATENATE("The graph below, with respect to the practice is a simple average of the ",'⏱ Input'!X8," and ",'⏱ Input'!Y8," and extra practice is a simple average of the ",'⏱ Input'!AA8,", ",'⏱ Input'!AB8,", ",'⏱ Input'!AC8," and ",'⏱ Input'!AD8,".")</f>
        <v>The graph below, with respect to the practice is a simple average of the Inst. EOC Ques. and Class Test Book and extra practice is a simple average of the Inst. Online Portal, Prac. Book, Schweser Prac. Bk 1 and Schweser Prac. Bk 2.</v>
      </c>
      <c r="C5" s="299"/>
      <c r="D5" s="299"/>
      <c r="E5" s="299"/>
      <c r="F5" s="299"/>
      <c r="G5" s="299"/>
      <c r="H5" s="299"/>
      <c r="I5" s="299"/>
      <c r="J5" s="299"/>
      <c r="K5" s="299"/>
      <c r="L5" s="299"/>
      <c r="M5" s="299"/>
      <c r="N5" s="299"/>
      <c r="O5" s="299"/>
      <c r="P5" s="299"/>
      <c r="Q5" s="299"/>
      <c r="R5" s="56"/>
      <c r="S5" s="56"/>
      <c r="T5" s="56"/>
      <c r="U5" s="56"/>
      <c r="V5" s="56"/>
      <c r="W5" s="56"/>
    </row>
    <row r="6" spans="2:23" s="30" customFormat="1" ht="32.450000000000003" customHeight="1">
      <c r="B6" s="299"/>
      <c r="C6" s="299"/>
      <c r="D6" s="299"/>
      <c r="E6" s="299"/>
      <c r="F6" s="299"/>
      <c r="G6" s="299"/>
      <c r="H6" s="299"/>
      <c r="I6" s="299"/>
      <c r="J6" s="299"/>
      <c r="K6" s="299"/>
      <c r="L6" s="299"/>
      <c r="M6" s="299"/>
      <c r="N6" s="299"/>
      <c r="O6" s="299"/>
      <c r="P6" s="299"/>
      <c r="Q6" s="299"/>
      <c r="R6" s="56"/>
      <c r="S6" s="56"/>
      <c r="T6" s="56"/>
      <c r="U6" s="56"/>
      <c r="V6" s="56"/>
      <c r="W6" s="56"/>
    </row>
    <row r="7" spans="2:23" s="30" customFormat="1" ht="15.75" customHeight="1">
      <c r="I7" s="29"/>
      <c r="J7" s="29"/>
      <c r="K7" s="29"/>
      <c r="L7" s="29"/>
      <c r="M7" s="29"/>
      <c r="N7" s="29"/>
      <c r="O7" s="28"/>
    </row>
    <row r="8" spans="2:23" s="30" customFormat="1" ht="15.75" customHeight="1">
      <c r="H8" s="30" t="s">
        <v>191</v>
      </c>
      <c r="I8" s="29"/>
      <c r="J8" s="29"/>
      <c r="K8" s="29"/>
      <c r="L8" s="29"/>
      <c r="M8" s="29"/>
      <c r="N8" s="29"/>
      <c r="O8" s="28"/>
    </row>
    <row r="9" spans="2:23" s="30" customFormat="1" ht="15.75" customHeight="1">
      <c r="I9" s="29"/>
      <c r="J9" s="29"/>
      <c r="K9" s="29"/>
      <c r="L9" s="29"/>
      <c r="M9" s="29"/>
      <c r="N9" s="29"/>
      <c r="O9" s="28"/>
    </row>
    <row r="10" spans="2:23" s="30" customFormat="1" ht="15.75" customHeight="1">
      <c r="I10" s="29"/>
      <c r="J10" s="29"/>
      <c r="K10" s="29"/>
      <c r="L10" s="29"/>
      <c r="M10" s="29"/>
      <c r="N10" s="29"/>
      <c r="O10" s="28"/>
      <c r="S10" s="148" t="s">
        <v>111</v>
      </c>
      <c r="T10" s="149"/>
    </row>
    <row r="11" spans="2:23" s="30" customFormat="1" ht="15.75" customHeight="1">
      <c r="I11" s="29"/>
      <c r="J11" s="29"/>
      <c r="K11" s="29"/>
      <c r="L11" s="29"/>
      <c r="M11" s="29"/>
      <c r="N11" s="29"/>
      <c r="O11" s="28"/>
      <c r="S11" s="4"/>
      <c r="T11" s="28" t="s">
        <v>30</v>
      </c>
    </row>
    <row r="12" spans="2:23" s="30" customFormat="1" ht="15.75" customHeight="1">
      <c r="I12" s="29"/>
      <c r="J12" s="29"/>
      <c r="K12" s="29"/>
      <c r="L12" s="29"/>
      <c r="M12" s="29"/>
      <c r="N12" s="29"/>
      <c r="O12" s="28"/>
      <c r="S12" s="5"/>
      <c r="T12" s="28" t="s">
        <v>29</v>
      </c>
    </row>
    <row r="13" spans="2:23" s="30" customFormat="1" ht="15.75" customHeight="1">
      <c r="I13" s="29"/>
      <c r="J13" s="29"/>
      <c r="K13" s="29"/>
      <c r="L13" s="29"/>
      <c r="M13" s="29"/>
      <c r="N13" s="29"/>
      <c r="O13" s="28"/>
      <c r="S13" s="149"/>
      <c r="T13" s="28"/>
    </row>
    <row r="14" spans="2:23" s="30" customFormat="1" ht="15.75" customHeight="1">
      <c r="I14" s="29"/>
      <c r="J14" s="29"/>
      <c r="K14" s="29"/>
      <c r="L14" s="29"/>
      <c r="M14" s="29"/>
      <c r="N14" s="29"/>
      <c r="O14" s="28"/>
      <c r="S14" s="149" t="s">
        <v>35</v>
      </c>
      <c r="T14" s="28"/>
    </row>
    <row r="15" spans="2:23" s="30" customFormat="1" ht="15.75" customHeight="1">
      <c r="I15" s="29"/>
      <c r="J15" s="29"/>
      <c r="K15" s="29"/>
      <c r="L15" s="29"/>
      <c r="M15" s="29"/>
      <c r="N15" s="29"/>
      <c r="O15" s="28"/>
      <c r="S15" s="6"/>
      <c r="T15" s="28" t="s">
        <v>30</v>
      </c>
    </row>
    <row r="16" spans="2:23" s="30" customFormat="1" ht="15.75" customHeight="1">
      <c r="I16" s="29"/>
      <c r="J16" s="29"/>
      <c r="K16" s="29"/>
      <c r="L16" s="29"/>
      <c r="M16" s="29"/>
      <c r="N16" s="29"/>
      <c r="O16" s="28"/>
      <c r="S16" s="7"/>
      <c r="T16" s="28" t="s">
        <v>29</v>
      </c>
    </row>
    <row r="17" spans="3:36" s="30" customFormat="1" ht="15.75" customHeight="1">
      <c r="I17" s="29"/>
      <c r="J17" s="29"/>
      <c r="K17" s="29"/>
      <c r="L17" s="29"/>
      <c r="M17" s="29"/>
      <c r="N17" s="29"/>
      <c r="O17" s="28"/>
      <c r="S17" s="28"/>
      <c r="T17" s="28"/>
    </row>
    <row r="18" spans="3:36" s="30" customFormat="1" ht="15.75" customHeight="1">
      <c r="I18" s="29"/>
      <c r="J18" s="29"/>
      <c r="K18" s="29"/>
      <c r="L18" s="29"/>
      <c r="M18" s="29"/>
      <c r="N18" s="29"/>
      <c r="O18" s="28"/>
      <c r="S18" s="149" t="s">
        <v>43</v>
      </c>
      <c r="T18" s="28"/>
    </row>
    <row r="19" spans="3:36" s="30" customFormat="1" ht="15.75" customHeight="1">
      <c r="I19" s="29"/>
      <c r="J19" s="29"/>
      <c r="K19" s="29"/>
      <c r="L19" s="29"/>
      <c r="M19" s="29"/>
      <c r="N19" s="29"/>
      <c r="O19" s="28"/>
      <c r="S19" s="23"/>
      <c r="T19" s="28" t="s">
        <v>30</v>
      </c>
    </row>
    <row r="20" spans="3:36" s="30" customFormat="1" ht="15.75" customHeight="1">
      <c r="I20" s="29"/>
      <c r="J20" s="29"/>
      <c r="K20" s="29"/>
      <c r="L20" s="29"/>
      <c r="M20" s="29"/>
      <c r="N20" s="29"/>
      <c r="O20" s="28"/>
      <c r="S20" s="191"/>
      <c r="T20" s="28" t="s">
        <v>29</v>
      </c>
    </row>
    <row r="21" spans="3:36" s="30" customFormat="1" ht="15.75" customHeight="1">
      <c r="I21" s="29"/>
      <c r="J21" s="29"/>
      <c r="K21" s="29"/>
      <c r="L21" s="29"/>
      <c r="M21" s="29"/>
      <c r="N21" s="29"/>
      <c r="O21" s="28"/>
      <c r="S21" s="28"/>
      <c r="T21" s="28"/>
    </row>
    <row r="22" spans="3:36" s="30" customFormat="1" ht="15.75" customHeight="1">
      <c r="I22" s="29"/>
      <c r="J22" s="29"/>
      <c r="K22" s="29"/>
      <c r="L22" s="29"/>
      <c r="M22" s="29"/>
      <c r="N22" s="29"/>
      <c r="O22" s="28"/>
      <c r="S22" s="149" t="s">
        <v>137</v>
      </c>
      <c r="T22" s="28"/>
    </row>
    <row r="23" spans="3:36" s="30" customFormat="1" ht="15.75" customHeight="1">
      <c r="I23" s="29"/>
      <c r="J23" s="29"/>
      <c r="K23" s="29"/>
      <c r="L23" s="29"/>
      <c r="M23" s="29"/>
      <c r="N23" s="29"/>
      <c r="O23" s="28"/>
      <c r="S23" s="24"/>
      <c r="T23" s="28" t="s">
        <v>30</v>
      </c>
    </row>
    <row r="24" spans="3:36" s="30" customFormat="1" ht="15.75" customHeight="1">
      <c r="I24" s="29"/>
      <c r="J24" s="29"/>
      <c r="K24" s="29"/>
      <c r="L24" s="29"/>
      <c r="M24" s="29"/>
      <c r="N24" s="29"/>
      <c r="O24" s="28"/>
      <c r="S24" s="25"/>
      <c r="T24" s="28" t="s">
        <v>29</v>
      </c>
    </row>
    <row r="25" spans="3:36" s="30" customFormat="1" ht="15.75" customHeight="1">
      <c r="I25" s="29"/>
      <c r="J25" s="29"/>
      <c r="K25" s="29"/>
      <c r="L25" s="29"/>
      <c r="M25" s="29"/>
      <c r="N25" s="29"/>
      <c r="O25" s="28"/>
      <c r="S25" s="28"/>
      <c r="T25" s="28"/>
    </row>
    <row r="26" spans="3:36" s="30" customFormat="1" ht="15.75" customHeight="1" thickBot="1">
      <c r="I26" s="29"/>
      <c r="J26" s="29"/>
      <c r="K26" s="29"/>
      <c r="L26" s="29"/>
      <c r="M26" s="29"/>
      <c r="N26" s="29"/>
      <c r="O26" s="28"/>
      <c r="S26" s="28"/>
      <c r="T26" s="289" t="s">
        <v>136</v>
      </c>
    </row>
    <row r="27" spans="3:36" s="30" customFormat="1" ht="15.75" customHeight="1" thickTop="1">
      <c r="I27" s="29"/>
      <c r="J27" s="29"/>
      <c r="K27" s="29"/>
      <c r="L27" s="29"/>
      <c r="M27" s="29"/>
      <c r="N27" s="29"/>
      <c r="O27" s="28"/>
      <c r="S27" s="185"/>
      <c r="T27" s="290"/>
    </row>
    <row r="28" spans="3:36" s="30" customFormat="1" ht="15.75" customHeight="1">
      <c r="I28" s="29"/>
      <c r="J28" s="29"/>
      <c r="K28" s="29"/>
      <c r="L28" s="29"/>
      <c r="M28" s="29"/>
      <c r="N28" s="29"/>
      <c r="O28" s="28"/>
    </row>
    <row r="29" spans="3:36" s="30" customFormat="1" ht="15.75" customHeight="1">
      <c r="I29" s="29"/>
      <c r="J29" s="29"/>
      <c r="K29" s="29"/>
      <c r="L29" s="29"/>
      <c r="M29" s="29"/>
      <c r="N29" s="29"/>
      <c r="O29" s="28"/>
    </row>
    <row r="30" spans="3:36" s="30" customFormat="1" ht="15.75" customHeight="1">
      <c r="I30" s="29"/>
      <c r="J30" s="29"/>
      <c r="K30" s="29"/>
      <c r="L30" s="29"/>
      <c r="M30" s="29"/>
      <c r="N30" s="29"/>
      <c r="O30" s="28"/>
    </row>
    <row r="31" spans="3:36" s="30" customFormat="1" ht="23.25" customHeight="1">
      <c r="C31" s="293" t="s">
        <v>3</v>
      </c>
      <c r="D31" s="292" t="s">
        <v>111</v>
      </c>
      <c r="E31" s="292"/>
      <c r="F31" s="292"/>
      <c r="G31" s="297" t="s">
        <v>35</v>
      </c>
      <c r="H31" s="297"/>
      <c r="I31" s="190" t="s">
        <v>43</v>
      </c>
      <c r="J31" s="298" t="s">
        <v>137</v>
      </c>
      <c r="K31" s="298"/>
      <c r="L31" s="298"/>
      <c r="M31" s="298"/>
      <c r="N31" s="295" t="s">
        <v>138</v>
      </c>
      <c r="O31" s="295" t="s">
        <v>27</v>
      </c>
      <c r="X31" s="29"/>
      <c r="Y31" s="29"/>
      <c r="Z31" s="29"/>
      <c r="AA31" s="29"/>
      <c r="AB31" s="29"/>
      <c r="AC31" s="29"/>
      <c r="AD31" s="29"/>
      <c r="AE31" s="29"/>
      <c r="AF31" s="29"/>
    </row>
    <row r="32" spans="3:36" ht="46.5" customHeight="1">
      <c r="C32" s="294"/>
      <c r="D32" s="160" t="s">
        <v>59</v>
      </c>
      <c r="E32" s="160" t="s">
        <v>51</v>
      </c>
      <c r="F32" s="160" t="s">
        <v>63</v>
      </c>
      <c r="G32" s="161" t="str">
        <f>Master_Data[[#Headers],[Inst. EOC Ques.]]</f>
        <v>Inst. EOC Ques.</v>
      </c>
      <c r="H32" s="161" t="str">
        <f>Master_Data[[#Headers],[Class Test Book]]</f>
        <v>Class Test Book</v>
      </c>
      <c r="I32" s="162" t="str">
        <f>Master_Data[[#Headers],[Revision]]</f>
        <v>Revision</v>
      </c>
      <c r="J32" s="163" t="str">
        <f>Master_Data[[#Headers],[Inst. Online Portal]]</f>
        <v>Inst. Online Portal</v>
      </c>
      <c r="K32" s="163" t="str">
        <f>Master_Data[[#Headers],[Prac. Book]]</f>
        <v>Prac. Book</v>
      </c>
      <c r="L32" s="163" t="str">
        <f>Master_Data[[#Headers],[Schweser Prac. Bk 1]]</f>
        <v>Schweser Prac. Bk 1</v>
      </c>
      <c r="M32" s="163" t="str">
        <f>Master_Data[[#Headers],[Schweser Prac. Bk 2]]</f>
        <v>Schweser Prac. Bk 2</v>
      </c>
      <c r="N32" s="296"/>
      <c r="O32" s="296"/>
      <c r="P32" s="35" t="s">
        <v>36</v>
      </c>
      <c r="Q32" s="35" t="s">
        <v>37</v>
      </c>
      <c r="R32" s="35" t="s">
        <v>150</v>
      </c>
      <c r="S32" s="35" t="s">
        <v>38</v>
      </c>
      <c r="T32" s="35" t="s">
        <v>142</v>
      </c>
      <c r="U32" s="35" t="s">
        <v>143</v>
      </c>
      <c r="V32" s="35" t="s">
        <v>144</v>
      </c>
      <c r="W32" s="35"/>
      <c r="X32" s="35"/>
      <c r="Y32" s="35"/>
      <c r="Z32" s="35" t="s">
        <v>31</v>
      </c>
      <c r="AA32" s="35" t="s">
        <v>32</v>
      </c>
      <c r="AB32" s="35" t="s">
        <v>33</v>
      </c>
      <c r="AC32" s="35" t="s">
        <v>34</v>
      </c>
      <c r="AD32" s="35" t="s">
        <v>145</v>
      </c>
      <c r="AE32" s="35" t="s">
        <v>146</v>
      </c>
      <c r="AF32" s="35" t="s">
        <v>143</v>
      </c>
      <c r="AG32" s="35" t="s">
        <v>147</v>
      </c>
      <c r="AH32" s="35" t="s">
        <v>148</v>
      </c>
      <c r="AI32" s="35" t="s">
        <v>149</v>
      </c>
      <c r="AJ32" s="35"/>
    </row>
    <row r="33" spans="2:39">
      <c r="B33" s="137">
        <v>2.5</v>
      </c>
      <c r="C33" s="164" t="s">
        <v>9</v>
      </c>
      <c r="D33" s="165">
        <f>SUMIFS(Master_Data[Duration (hh:mm)],Master_Data[Subject],'📊 Progress'!C33,Master_Data[Lectures],"d")</f>
        <v>0</v>
      </c>
      <c r="E33" s="166">
        <f>SUMIF(Master_Data[Subject],'📊 Progress'!C33,Master_Data[Duration (hh:mm)])</f>
        <v>2.2402777777777776</v>
      </c>
      <c r="F33" s="167">
        <f>SUMIFS(Master_Data[No. of Chapters],Master_Data[Subject],C33,Master_Data[Self Study],"D",Master_Data[Lectures],"D")</f>
        <v>0</v>
      </c>
      <c r="G33" s="167">
        <f>SUMIFS(Master_Data[No. of Chapters],Master_Data[Subject],'📊 Progress'!$C33,Master_Data[Inst. EOC Ques.],"D")</f>
        <v>0</v>
      </c>
      <c r="H33" s="167">
        <f>SUMIFS(Master_Data[No. of Chapters],Master_Data[Subject],'📊 Progress'!$C33,Master_Data[Class Test Book],"D")</f>
        <v>0</v>
      </c>
      <c r="I33" s="167">
        <f>SUMIFS(Master_Data[No. of Chapters],Master_Data[Subject],'📊 Progress'!$C33,Master_Data[Revision],"D")</f>
        <v>0</v>
      </c>
      <c r="J33" s="167">
        <f>SUMIFS(Master_Data[No. of Chapters],Master_Data[Subject],'📊 Progress'!$C33,Master_Data[Inst. Online Portal],"D")</f>
        <v>0</v>
      </c>
      <c r="K33" s="167">
        <f>SUMIFS(Master_Data[No. of Chapters],Master_Data[Subject],'📊 Progress'!$C33,Master_Data[Prac. Book],"D")</f>
        <v>0</v>
      </c>
      <c r="L33" s="167">
        <f>SUMIFS(Master_Data[No. of Chapters],Master_Data[Subject],'📊 Progress'!$C33,Master_Data[Schweser Prac. Bk 1],"D")</f>
        <v>0</v>
      </c>
      <c r="M33" s="167">
        <f>SUMIFS(Master_Data[No. of Chapters],Master_Data[Subject],'📊 Progress'!$C33,Master_Data[Schweser Prac. Bk 2],"D")</f>
        <v>0</v>
      </c>
      <c r="N33" s="168">
        <f>SUMIF(Master_Data[Subject],'📊 Progress'!C33,Master_Data[Subjectwise weighted average])</f>
        <v>2.4772727272727271</v>
      </c>
      <c r="O33" s="169">
        <f>SUMIFS(Master_Data[No. of Chapters],Master_Data[Subject],'📊 Progress'!C33)</f>
        <v>18</v>
      </c>
      <c r="P33" s="36">
        <f>ROUND(AVERAGE(G33:H33),0)</f>
        <v>0</v>
      </c>
      <c r="Q33" s="36">
        <f t="shared" ref="Q33:Q42" si="0">O33-P33</f>
        <v>18</v>
      </c>
      <c r="R33" s="36">
        <f t="shared" ref="R33:R42" si="1">F33</f>
        <v>0</v>
      </c>
      <c r="S33" s="36">
        <f t="shared" ref="S33:S42" si="2">O33-F33</f>
        <v>18</v>
      </c>
      <c r="T33" s="36">
        <f t="shared" ref="T33:T42" si="3">O33-I33</f>
        <v>18</v>
      </c>
      <c r="U33" s="36">
        <f>ROUND(AVERAGE(J33:M33),0)</f>
        <v>0</v>
      </c>
      <c r="V33" s="36">
        <f t="shared" ref="V33:V42" si="4">O33-U33</f>
        <v>18</v>
      </c>
      <c r="W33" s="35"/>
      <c r="X33" s="35"/>
      <c r="Y33" s="35" t="str">
        <f t="shared" ref="Y33:Y42" si="5">C33</f>
        <v>Quants</v>
      </c>
      <c r="Z33" s="79">
        <f t="shared" ref="Z33:Z42" si="6">(F33/O33)</f>
        <v>0</v>
      </c>
      <c r="AA33" s="79">
        <v>1</v>
      </c>
      <c r="AB33" s="79" t="str">
        <f t="shared" ref="AB33:AB42" si="7">IF((P33/O33)=0,"",P33/O33)</f>
        <v/>
      </c>
      <c r="AC33" s="79">
        <v>1</v>
      </c>
      <c r="AD33" s="79">
        <f t="shared" ref="AD33:AD42" si="8">I33/O33</f>
        <v>0</v>
      </c>
      <c r="AE33" s="79">
        <v>1</v>
      </c>
      <c r="AF33" s="79" t="str">
        <f t="shared" ref="AF33:AF42" si="9">IF((U33/O33)=0,"",U33/O33)</f>
        <v/>
      </c>
      <c r="AG33" s="79">
        <v>1</v>
      </c>
      <c r="AH33" s="79">
        <f t="shared" ref="AH33:AH42" si="10">N33/5</f>
        <v>0.49545454545454543</v>
      </c>
      <c r="AI33" s="79">
        <v>1</v>
      </c>
      <c r="AJ33" s="35"/>
    </row>
    <row r="34" spans="2:39">
      <c r="B34" s="137">
        <v>2.5</v>
      </c>
      <c r="C34" s="164" t="s">
        <v>14</v>
      </c>
      <c r="D34" s="165">
        <f>SUMIFS(Master_Data[Duration (hh:mm)],Master_Data[Subject],'📊 Progress'!C34,Master_Data[Lectures],"d")</f>
        <v>0</v>
      </c>
      <c r="E34" s="166">
        <f>SUMIF(Master_Data[Subject],'📊 Progress'!C34,Master_Data[Duration (hh:mm)])</f>
        <v>1.4972222222222222</v>
      </c>
      <c r="F34" s="167">
        <f>SUMIFS(Master_Data[No. of Chapters],Master_Data[Subject],C34,Master_Data[Self Study],"D",Master_Data[Lectures],"D")</f>
        <v>0</v>
      </c>
      <c r="G34" s="167">
        <f>SUMIFS(Master_Data[No. of Chapters],Master_Data[Subject],'📊 Progress'!$C34,Master_Data[Inst. EOC Ques.],"D")</f>
        <v>0</v>
      </c>
      <c r="H34" s="167">
        <f>SUMIFS(Master_Data[No. of Chapters],Master_Data[Subject],'📊 Progress'!$C34,Master_Data[Class Test Book],"D")</f>
        <v>0</v>
      </c>
      <c r="I34" s="167">
        <f>SUMIFS(Master_Data[No. of Chapters],Master_Data[Subject],'📊 Progress'!$C34,Master_Data[Revision],"D")</f>
        <v>0</v>
      </c>
      <c r="J34" s="167">
        <f>SUMIFS(Master_Data[No. of Chapters],Master_Data[Subject],'📊 Progress'!$C34,Master_Data[Inst. Online Portal],"D")</f>
        <v>0</v>
      </c>
      <c r="K34" s="167">
        <f>SUMIFS(Master_Data[No. of Chapters],Master_Data[Subject],'📊 Progress'!$C34,Master_Data[Prac. Book],"D")</f>
        <v>0</v>
      </c>
      <c r="L34" s="167">
        <f>SUMIFS(Master_Data[No. of Chapters],Master_Data[Subject],'📊 Progress'!$C34,Master_Data[Schweser Prac. Bk 1],"D")</f>
        <v>0</v>
      </c>
      <c r="M34" s="167">
        <f>SUMIFS(Master_Data[No. of Chapters],Master_Data[Subject],'📊 Progress'!$C34,Master_Data[Schweser Prac. Bk 2],"D")</f>
        <v>0</v>
      </c>
      <c r="N34" s="168">
        <f>SUMIF(Master_Data[Subject],'📊 Progress'!C34,Master_Data[Subjectwise weighted average])</f>
        <v>2.6551724137931032</v>
      </c>
      <c r="O34" s="169">
        <f>SUMIFS(Master_Data[No. of Chapters],Master_Data[Subject],'📊 Progress'!C34)</f>
        <v>15</v>
      </c>
      <c r="P34" s="36">
        <f t="shared" ref="P34:P41" si="11">ROUND(AVERAGE(G34:H34),0)</f>
        <v>0</v>
      </c>
      <c r="Q34" s="36">
        <f t="shared" ref="Q34:Q41" si="12">O34-P34</f>
        <v>15</v>
      </c>
      <c r="R34" s="36">
        <f t="shared" ref="R34:R41" si="13">F34</f>
        <v>0</v>
      </c>
      <c r="S34" s="36">
        <f t="shared" ref="S34:S41" si="14">O34-F34</f>
        <v>15</v>
      </c>
      <c r="T34" s="36">
        <f t="shared" ref="T34:T41" si="15">O34-I34</f>
        <v>15</v>
      </c>
      <c r="U34" s="36">
        <f t="shared" ref="U34:U41" si="16">ROUND(AVERAGE(J34:M34),0)</f>
        <v>0</v>
      </c>
      <c r="V34" s="36">
        <f t="shared" ref="V34:V41" si="17">O34-U34</f>
        <v>15</v>
      </c>
      <c r="W34" s="35"/>
      <c r="X34" s="35"/>
      <c r="Y34" s="35" t="str">
        <f t="shared" ref="Y34:Y41" si="18">C34</f>
        <v>Economics</v>
      </c>
      <c r="Z34" s="79">
        <f t="shared" ref="Z34:Z41" si="19">(F34/O34)</f>
        <v>0</v>
      </c>
      <c r="AA34" s="79">
        <v>1</v>
      </c>
      <c r="AB34" s="79" t="str">
        <f t="shared" ref="AB34:AB41" si="20">IF((P34/O34)=0,"",P34/O34)</f>
        <v/>
      </c>
      <c r="AC34" s="79">
        <v>1</v>
      </c>
      <c r="AD34" s="79">
        <f t="shared" ref="AD34:AD41" si="21">I34/O34</f>
        <v>0</v>
      </c>
      <c r="AE34" s="79">
        <v>1</v>
      </c>
      <c r="AF34" s="79" t="str">
        <f t="shared" ref="AF34:AF41" si="22">IF((U34/O34)=0,"",U34/O34)</f>
        <v/>
      </c>
      <c r="AG34" s="79">
        <v>1</v>
      </c>
      <c r="AH34" s="79">
        <f t="shared" ref="AH34:AH41" si="23">N34/5</f>
        <v>0.53103448275862064</v>
      </c>
      <c r="AI34" s="79"/>
      <c r="AJ34" s="35"/>
    </row>
    <row r="35" spans="2:39">
      <c r="B35" s="137">
        <v>2.5</v>
      </c>
      <c r="C35" s="164" t="s">
        <v>224</v>
      </c>
      <c r="D35" s="165">
        <f>SUMIFS(Master_Data[Duration (hh:mm)],Master_Data[Subject],'📊 Progress'!C35,Master_Data[Lectures],"d")</f>
        <v>0</v>
      </c>
      <c r="E35" s="166">
        <f>SUMIF(Master_Data[Subject],'📊 Progress'!C35,Master_Data[Duration (hh:mm)])</f>
        <v>2.5243055555555558</v>
      </c>
      <c r="F35" s="167">
        <f>SUMIFS(Master_Data[No. of Chapters],Master_Data[Subject],C35,Master_Data[Self Study],"D",Master_Data[Lectures],"D")</f>
        <v>0</v>
      </c>
      <c r="G35" s="167">
        <f>SUMIFS(Master_Data[No. of Chapters],Master_Data[Subject],'📊 Progress'!$C35,Master_Data[Inst. EOC Ques.],"D")</f>
        <v>0</v>
      </c>
      <c r="H35" s="167">
        <f>SUMIFS(Master_Data[No. of Chapters],Master_Data[Subject],'📊 Progress'!$C35,Master_Data[Class Test Book],"D")</f>
        <v>0</v>
      </c>
      <c r="I35" s="167">
        <f>SUMIFS(Master_Data[No. of Chapters],Master_Data[Subject],'📊 Progress'!$C35,Master_Data[Revision],"D")</f>
        <v>0</v>
      </c>
      <c r="J35" s="167">
        <f>SUMIFS(Master_Data[No. of Chapters],Master_Data[Subject],'📊 Progress'!$C35,Master_Data[Inst. Online Portal],"D")</f>
        <v>0</v>
      </c>
      <c r="K35" s="167">
        <f>SUMIFS(Master_Data[No. of Chapters],Master_Data[Subject],'📊 Progress'!$C35,Master_Data[Prac. Book],"D")</f>
        <v>0</v>
      </c>
      <c r="L35" s="167">
        <f>SUMIFS(Master_Data[No. of Chapters],Master_Data[Subject],'📊 Progress'!$C35,Master_Data[Schweser Prac. Bk 1],"D")</f>
        <v>0</v>
      </c>
      <c r="M35" s="167">
        <f>SUMIFS(Master_Data[No. of Chapters],Master_Data[Subject],'📊 Progress'!$C35,Master_Data[Schweser Prac. Bk 2],"D")</f>
        <v>0</v>
      </c>
      <c r="N35" s="168">
        <f>SUMIF(Master_Data[Subject],'📊 Progress'!C35,Master_Data[Subjectwise weighted average])</f>
        <v>2.2250000000000001</v>
      </c>
      <c r="O35" s="169">
        <f>SUMIFS(Master_Data[No. of Chapters],Master_Data[Subject],'📊 Progress'!C35)</f>
        <v>20</v>
      </c>
      <c r="P35" s="36">
        <f t="shared" si="11"/>
        <v>0</v>
      </c>
      <c r="Q35" s="36">
        <f t="shared" si="12"/>
        <v>20</v>
      </c>
      <c r="R35" s="36">
        <f t="shared" si="13"/>
        <v>0</v>
      </c>
      <c r="S35" s="36">
        <f t="shared" si="14"/>
        <v>20</v>
      </c>
      <c r="T35" s="36">
        <f t="shared" si="15"/>
        <v>20</v>
      </c>
      <c r="U35" s="36">
        <f t="shared" si="16"/>
        <v>0</v>
      </c>
      <c r="V35" s="36">
        <f t="shared" si="17"/>
        <v>20</v>
      </c>
      <c r="W35" s="35"/>
      <c r="X35" s="35"/>
      <c r="Y35" s="35" t="str">
        <f t="shared" si="18"/>
        <v>FSA</v>
      </c>
      <c r="Z35" s="79">
        <f t="shared" si="19"/>
        <v>0</v>
      </c>
      <c r="AA35" s="79">
        <v>1</v>
      </c>
      <c r="AB35" s="79" t="str">
        <f t="shared" si="20"/>
        <v/>
      </c>
      <c r="AC35" s="79">
        <v>1</v>
      </c>
      <c r="AD35" s="79">
        <f t="shared" si="21"/>
        <v>0</v>
      </c>
      <c r="AE35" s="79">
        <v>1</v>
      </c>
      <c r="AF35" s="79" t="str">
        <f t="shared" si="22"/>
        <v/>
      </c>
      <c r="AG35" s="79">
        <v>1</v>
      </c>
      <c r="AH35" s="79">
        <f t="shared" si="23"/>
        <v>0.44500000000000001</v>
      </c>
      <c r="AI35" s="79"/>
      <c r="AJ35" s="35"/>
    </row>
    <row r="36" spans="2:39">
      <c r="B36" s="137">
        <v>2.5</v>
      </c>
      <c r="C36" s="164" t="s">
        <v>133</v>
      </c>
      <c r="D36" s="165">
        <f>SUMIFS(Master_Data[Duration (hh:mm)],Master_Data[Subject],'📊 Progress'!C36,Master_Data[Lectures],"d")</f>
        <v>0</v>
      </c>
      <c r="E36" s="166">
        <f>SUMIF(Master_Data[Subject],'📊 Progress'!C36,Master_Data[Duration (hh:mm)])</f>
        <v>1.1347222222222222</v>
      </c>
      <c r="F36" s="167">
        <f>SUMIFS(Master_Data[No. of Chapters],Master_Data[Subject],C36,Master_Data[Self Study],"D",Master_Data[Lectures],"D")</f>
        <v>0</v>
      </c>
      <c r="G36" s="167">
        <f>SUMIFS(Master_Data[No. of Chapters],Master_Data[Subject],'📊 Progress'!$C36,Master_Data[Inst. EOC Ques.],"D")</f>
        <v>0</v>
      </c>
      <c r="H36" s="167">
        <f>SUMIFS(Master_Data[No. of Chapters],Master_Data[Subject],'📊 Progress'!$C36,Master_Data[Class Test Book],"D")</f>
        <v>0</v>
      </c>
      <c r="I36" s="167">
        <f>SUMIFS(Master_Data[No. of Chapters],Master_Data[Subject],'📊 Progress'!$C36,Master_Data[Revision],"D")</f>
        <v>0</v>
      </c>
      <c r="J36" s="167">
        <f>SUMIFS(Master_Data[No. of Chapters],Master_Data[Subject],'📊 Progress'!$C36,Master_Data[Inst. Online Portal],"D")</f>
        <v>0</v>
      </c>
      <c r="K36" s="167">
        <f>SUMIFS(Master_Data[No. of Chapters],Master_Data[Subject],'📊 Progress'!$C36,Master_Data[Prac. Book],"D")</f>
        <v>0</v>
      </c>
      <c r="L36" s="167">
        <f>SUMIFS(Master_Data[No. of Chapters],Master_Data[Subject],'📊 Progress'!$C36,Master_Data[Schweser Prac. Bk 1],"D")</f>
        <v>0</v>
      </c>
      <c r="M36" s="167">
        <f>SUMIFS(Master_Data[No. of Chapters],Master_Data[Subject],'📊 Progress'!$C36,Master_Data[Schweser Prac. Bk 2],"D")</f>
        <v>0</v>
      </c>
      <c r="N36" s="168">
        <f>SUMIF(Master_Data[Subject],'📊 Progress'!C36,Master_Data[Subjectwise weighted average])</f>
        <v>2.2272727272727275</v>
      </c>
      <c r="O36" s="169">
        <f>SUMIFS(Master_Data[No. of Chapters],Master_Data[Subject],'📊 Progress'!C36)</f>
        <v>7</v>
      </c>
      <c r="P36" s="36">
        <f t="shared" si="11"/>
        <v>0</v>
      </c>
      <c r="Q36" s="36">
        <f t="shared" si="12"/>
        <v>7</v>
      </c>
      <c r="R36" s="36">
        <f t="shared" si="13"/>
        <v>0</v>
      </c>
      <c r="S36" s="36">
        <f t="shared" si="14"/>
        <v>7</v>
      </c>
      <c r="T36" s="36">
        <f t="shared" si="15"/>
        <v>7</v>
      </c>
      <c r="U36" s="36">
        <f t="shared" si="16"/>
        <v>0</v>
      </c>
      <c r="V36" s="36">
        <f t="shared" si="17"/>
        <v>7</v>
      </c>
      <c r="W36" s="35"/>
      <c r="X36" s="35"/>
      <c r="Y36" s="35" t="str">
        <f t="shared" si="18"/>
        <v>Corp. Issuers</v>
      </c>
      <c r="Z36" s="79">
        <f t="shared" si="19"/>
        <v>0</v>
      </c>
      <c r="AA36" s="79">
        <v>1</v>
      </c>
      <c r="AB36" s="79" t="str">
        <f t="shared" si="20"/>
        <v/>
      </c>
      <c r="AC36" s="79">
        <v>1</v>
      </c>
      <c r="AD36" s="79">
        <f t="shared" si="21"/>
        <v>0</v>
      </c>
      <c r="AE36" s="79">
        <v>1</v>
      </c>
      <c r="AF36" s="79" t="str">
        <f t="shared" si="22"/>
        <v/>
      </c>
      <c r="AG36" s="79">
        <v>1</v>
      </c>
      <c r="AH36" s="79">
        <f t="shared" si="23"/>
        <v>0.44545454545454549</v>
      </c>
      <c r="AI36" s="79">
        <v>1</v>
      </c>
      <c r="AJ36" s="35"/>
    </row>
    <row r="37" spans="2:39">
      <c r="B37" s="137">
        <v>2.5</v>
      </c>
      <c r="C37" s="164" t="s">
        <v>22</v>
      </c>
      <c r="D37" s="165">
        <f>SUMIFS(Master_Data[Duration (hh:mm)],Master_Data[Subject],'📊 Progress'!C37,Master_Data[Lectures],"d")</f>
        <v>0</v>
      </c>
      <c r="E37" s="166">
        <f>SUMIF(Master_Data[Subject],'📊 Progress'!C37,Master_Data[Duration (hh:mm)])</f>
        <v>1.3798611111111112</v>
      </c>
      <c r="F37" s="167">
        <f>SUMIFS(Master_Data[No. of Chapters],Master_Data[Subject],C37,Master_Data[Self Study],"D",Master_Data[Lectures],"D")</f>
        <v>0</v>
      </c>
      <c r="G37" s="167">
        <f>SUMIFS(Master_Data[No. of Chapters],Master_Data[Subject],'📊 Progress'!$C37,Master_Data[Inst. EOC Ques.],"D")</f>
        <v>0</v>
      </c>
      <c r="H37" s="167">
        <f>SUMIFS(Master_Data[No. of Chapters],Master_Data[Subject],'📊 Progress'!$C37,Master_Data[Class Test Book],"D")</f>
        <v>0</v>
      </c>
      <c r="I37" s="167">
        <f>SUMIFS(Master_Data[No. of Chapters],Master_Data[Subject],'📊 Progress'!$C37,Master_Data[Revision],"D")</f>
        <v>0</v>
      </c>
      <c r="J37" s="167">
        <f>SUMIFS(Master_Data[No. of Chapters],Master_Data[Subject],'📊 Progress'!$C37,Master_Data[Inst. Online Portal],"D")</f>
        <v>0</v>
      </c>
      <c r="K37" s="167">
        <f>SUMIFS(Master_Data[No. of Chapters],Master_Data[Subject],'📊 Progress'!$C37,Master_Data[Prac. Book],"D")</f>
        <v>0</v>
      </c>
      <c r="L37" s="167">
        <f>SUMIFS(Master_Data[No. of Chapters],Master_Data[Subject],'📊 Progress'!$C37,Master_Data[Schweser Prac. Bk 1],"D")</f>
        <v>0</v>
      </c>
      <c r="M37" s="167">
        <f>SUMIFS(Master_Data[No. of Chapters],Master_Data[Subject],'📊 Progress'!$C37,Master_Data[Schweser Prac. Bk 2],"D")</f>
        <v>0</v>
      </c>
      <c r="N37" s="168">
        <f>SUMIF(Master_Data[Subject],'📊 Progress'!C37,Master_Data[Subjectwise weighted average])</f>
        <v>2.3548387096774195</v>
      </c>
      <c r="O37" s="169">
        <f>SUMIFS(Master_Data[No. of Chapters],Master_Data[Subject],'📊 Progress'!C37)</f>
        <v>8</v>
      </c>
      <c r="P37" s="36">
        <f t="shared" si="11"/>
        <v>0</v>
      </c>
      <c r="Q37" s="36">
        <f t="shared" si="12"/>
        <v>8</v>
      </c>
      <c r="R37" s="36">
        <f t="shared" si="13"/>
        <v>0</v>
      </c>
      <c r="S37" s="36">
        <f t="shared" si="14"/>
        <v>8</v>
      </c>
      <c r="T37" s="36">
        <f t="shared" si="15"/>
        <v>8</v>
      </c>
      <c r="U37" s="36">
        <f t="shared" si="16"/>
        <v>0</v>
      </c>
      <c r="V37" s="36">
        <f t="shared" si="17"/>
        <v>8</v>
      </c>
      <c r="W37" s="35"/>
      <c r="X37" s="35"/>
      <c r="Y37" s="35" t="str">
        <f t="shared" si="18"/>
        <v>Equity</v>
      </c>
      <c r="Z37" s="79">
        <f t="shared" si="19"/>
        <v>0</v>
      </c>
      <c r="AA37" s="79">
        <v>1</v>
      </c>
      <c r="AB37" s="79" t="str">
        <f t="shared" si="20"/>
        <v/>
      </c>
      <c r="AC37" s="79">
        <v>1</v>
      </c>
      <c r="AD37" s="79">
        <f t="shared" si="21"/>
        <v>0</v>
      </c>
      <c r="AE37" s="79">
        <v>1</v>
      </c>
      <c r="AF37" s="79" t="str">
        <f t="shared" si="22"/>
        <v/>
      </c>
      <c r="AG37" s="79">
        <v>1</v>
      </c>
      <c r="AH37" s="79">
        <f t="shared" si="23"/>
        <v>0.47096774193548391</v>
      </c>
      <c r="AI37" s="79"/>
      <c r="AJ37" s="35"/>
    </row>
    <row r="38" spans="2:39">
      <c r="B38" s="137">
        <v>2.5</v>
      </c>
      <c r="C38" s="164" t="s">
        <v>25</v>
      </c>
      <c r="D38" s="165">
        <f>SUMIFS(Master_Data[Duration (hh:mm)],Master_Data[Subject],'📊 Progress'!C38,Master_Data[Lectures],"d")</f>
        <v>0</v>
      </c>
      <c r="E38" s="166">
        <f>SUMIF(Master_Data[Subject],'📊 Progress'!C38,Master_Data[Duration (hh:mm)])</f>
        <v>2.1909722222222219</v>
      </c>
      <c r="F38" s="167">
        <f>SUMIFS(Master_Data[No. of Chapters],Master_Data[Subject],C38,Master_Data[Self Study],"D",Master_Data[Lectures],"D")</f>
        <v>0</v>
      </c>
      <c r="G38" s="167">
        <f>SUMIFS(Master_Data[No. of Chapters],Master_Data[Subject],'📊 Progress'!$C38,Master_Data[Inst. EOC Ques.],"D")</f>
        <v>0</v>
      </c>
      <c r="H38" s="167">
        <f>SUMIFS(Master_Data[No. of Chapters],Master_Data[Subject],'📊 Progress'!$C38,Master_Data[Class Test Book],"D")</f>
        <v>0</v>
      </c>
      <c r="I38" s="167">
        <f>SUMIFS(Master_Data[No. of Chapters],Master_Data[Subject],'📊 Progress'!$C38,Master_Data[Revision],"D")</f>
        <v>0</v>
      </c>
      <c r="J38" s="167">
        <f>SUMIFS(Master_Data[No. of Chapters],Master_Data[Subject],'📊 Progress'!$C38,Master_Data[Inst. Online Portal],"D")</f>
        <v>0</v>
      </c>
      <c r="K38" s="167">
        <f>SUMIFS(Master_Data[No. of Chapters],Master_Data[Subject],'📊 Progress'!$C38,Master_Data[Prac. Book],"D")</f>
        <v>0</v>
      </c>
      <c r="L38" s="167">
        <f>SUMIFS(Master_Data[No. of Chapters],Master_Data[Subject],'📊 Progress'!$C38,Master_Data[Schweser Prac. Bk 1],"D")</f>
        <v>0</v>
      </c>
      <c r="M38" s="167">
        <f>SUMIFS(Master_Data[No. of Chapters],Master_Data[Subject],'📊 Progress'!$C38,Master_Data[Schweser Prac. Bk 2],"D")</f>
        <v>0</v>
      </c>
      <c r="N38" s="168">
        <f>SUMIF(Master_Data[Subject],'📊 Progress'!C38,Master_Data[Subjectwise weighted average])</f>
        <v>2.5686274509803919</v>
      </c>
      <c r="O38" s="169">
        <f>SUMIFS(Master_Data[No. of Chapters],Master_Data[Subject],'📊 Progress'!C38)</f>
        <v>19</v>
      </c>
      <c r="P38" s="36">
        <f t="shared" si="11"/>
        <v>0</v>
      </c>
      <c r="Q38" s="36">
        <f t="shared" si="12"/>
        <v>19</v>
      </c>
      <c r="R38" s="36">
        <f t="shared" si="13"/>
        <v>0</v>
      </c>
      <c r="S38" s="36">
        <f t="shared" si="14"/>
        <v>19</v>
      </c>
      <c r="T38" s="36">
        <f t="shared" si="15"/>
        <v>19</v>
      </c>
      <c r="U38" s="36">
        <f t="shared" si="16"/>
        <v>0</v>
      </c>
      <c r="V38" s="36">
        <f t="shared" si="17"/>
        <v>19</v>
      </c>
      <c r="W38" s="35"/>
      <c r="X38" s="35"/>
      <c r="Y38" s="35" t="str">
        <f t="shared" si="18"/>
        <v>Fixed Income</v>
      </c>
      <c r="Z38" s="79">
        <f t="shared" si="19"/>
        <v>0</v>
      </c>
      <c r="AA38" s="79">
        <v>1</v>
      </c>
      <c r="AB38" s="79" t="str">
        <f t="shared" si="20"/>
        <v/>
      </c>
      <c r="AC38" s="79">
        <v>1</v>
      </c>
      <c r="AD38" s="79">
        <f t="shared" si="21"/>
        <v>0</v>
      </c>
      <c r="AE38" s="79">
        <v>1</v>
      </c>
      <c r="AF38" s="79" t="str">
        <f t="shared" si="22"/>
        <v/>
      </c>
      <c r="AG38" s="79">
        <v>1</v>
      </c>
      <c r="AH38" s="79">
        <f t="shared" si="23"/>
        <v>0.51372549019607838</v>
      </c>
      <c r="AI38" s="79">
        <v>1</v>
      </c>
      <c r="AJ38" s="35"/>
    </row>
    <row r="39" spans="2:39">
      <c r="B39" s="137">
        <v>2.5</v>
      </c>
      <c r="C39" s="164" t="s">
        <v>26</v>
      </c>
      <c r="D39" s="165">
        <f>SUMIFS(Master_Data[Duration (hh:mm)],Master_Data[Subject],'📊 Progress'!C39,Master_Data[Lectures],"d")</f>
        <v>0</v>
      </c>
      <c r="E39" s="166">
        <f>SUMIF(Master_Data[Subject],'📊 Progress'!C39,Master_Data[Duration (hh:mm)])</f>
        <v>1.1347222222222222</v>
      </c>
      <c r="F39" s="167">
        <f>SUMIFS(Master_Data[No. of Chapters],Master_Data[Subject],C39,Master_Data[Self Study],"D",Master_Data[Lectures],"D")</f>
        <v>0</v>
      </c>
      <c r="G39" s="167">
        <f>SUMIFS(Master_Data[No. of Chapters],Master_Data[Subject],'📊 Progress'!$C39,Master_Data[Inst. EOC Ques.],"D")</f>
        <v>0</v>
      </c>
      <c r="H39" s="167">
        <f>SUMIFS(Master_Data[No. of Chapters],Master_Data[Subject],'📊 Progress'!$C39,Master_Data[Class Test Book],"D")</f>
        <v>0</v>
      </c>
      <c r="I39" s="167">
        <f>SUMIFS(Master_Data[No. of Chapters],Master_Data[Subject],'📊 Progress'!$C39,Master_Data[Revision],"D")</f>
        <v>0</v>
      </c>
      <c r="J39" s="167">
        <f>SUMIFS(Master_Data[No. of Chapters],Master_Data[Subject],'📊 Progress'!$C39,Master_Data[Inst. Online Portal],"D")</f>
        <v>0</v>
      </c>
      <c r="K39" s="167">
        <f>SUMIFS(Master_Data[No. of Chapters],Master_Data[Subject],'📊 Progress'!$C39,Master_Data[Prac. Book],"D")</f>
        <v>0</v>
      </c>
      <c r="L39" s="167">
        <f>SUMIFS(Master_Data[No. of Chapters],Master_Data[Subject],'📊 Progress'!$C39,Master_Data[Schweser Prac. Bk 1],"D")</f>
        <v>0</v>
      </c>
      <c r="M39" s="167">
        <f>SUMIFS(Master_Data[No. of Chapters],Master_Data[Subject],'📊 Progress'!$C39,Master_Data[Schweser Prac. Bk 2],"D")</f>
        <v>0</v>
      </c>
      <c r="N39" s="168">
        <f>SUMIF(Master_Data[Subject],'📊 Progress'!C39,Master_Data[Subjectwise weighted average])</f>
        <v>2.333333333333333</v>
      </c>
      <c r="O39" s="169">
        <f>SUMIFS(Master_Data[No. of Chapters],Master_Data[Subject],'📊 Progress'!C39)</f>
        <v>10</v>
      </c>
      <c r="P39" s="36">
        <f t="shared" si="11"/>
        <v>0</v>
      </c>
      <c r="Q39" s="36">
        <f t="shared" si="12"/>
        <v>10</v>
      </c>
      <c r="R39" s="36">
        <f t="shared" si="13"/>
        <v>0</v>
      </c>
      <c r="S39" s="36">
        <f t="shared" si="14"/>
        <v>10</v>
      </c>
      <c r="T39" s="36">
        <f t="shared" si="15"/>
        <v>10</v>
      </c>
      <c r="U39" s="36">
        <f t="shared" si="16"/>
        <v>0</v>
      </c>
      <c r="V39" s="36">
        <f t="shared" si="17"/>
        <v>10</v>
      </c>
      <c r="W39" s="35"/>
      <c r="X39" s="35"/>
      <c r="Y39" s="35" t="str">
        <f t="shared" si="18"/>
        <v>Derivatives</v>
      </c>
      <c r="Z39" s="79">
        <f t="shared" si="19"/>
        <v>0</v>
      </c>
      <c r="AA39" s="79">
        <v>1</v>
      </c>
      <c r="AB39" s="79" t="str">
        <f t="shared" si="20"/>
        <v/>
      </c>
      <c r="AC39" s="79">
        <v>1</v>
      </c>
      <c r="AD39" s="79">
        <f t="shared" si="21"/>
        <v>0</v>
      </c>
      <c r="AE39" s="79">
        <v>1</v>
      </c>
      <c r="AF39" s="79" t="str">
        <f t="shared" si="22"/>
        <v/>
      </c>
      <c r="AG39" s="79">
        <v>1</v>
      </c>
      <c r="AH39" s="79">
        <f t="shared" si="23"/>
        <v>0.46666666666666662</v>
      </c>
      <c r="AI39" s="79">
        <v>1</v>
      </c>
      <c r="AJ39" s="35"/>
    </row>
    <row r="40" spans="2:39">
      <c r="B40" s="137">
        <v>2.5</v>
      </c>
      <c r="C40" s="164" t="s">
        <v>230</v>
      </c>
      <c r="D40" s="165">
        <f>SUMIFS(Master_Data[Duration (hh:mm)],Master_Data[Subject],'📊 Progress'!C40,Master_Data[Lectures],"d")</f>
        <v>0</v>
      </c>
      <c r="E40" s="166">
        <f>SUMIF(Master_Data[Subject],'📊 Progress'!C40,Master_Data[Duration (hh:mm)])</f>
        <v>0.75138888888888899</v>
      </c>
      <c r="F40" s="167">
        <f>SUMIFS(Master_Data[No. of Chapters],Master_Data[Subject],C40,Master_Data[Self Study],"D",Master_Data[Lectures],"D")</f>
        <v>0</v>
      </c>
      <c r="G40" s="167">
        <f>SUMIFS(Master_Data[No. of Chapters],Master_Data[Subject],'📊 Progress'!$C40,Master_Data[Inst. EOC Ques.],"D")</f>
        <v>0</v>
      </c>
      <c r="H40" s="167">
        <f>SUMIFS(Master_Data[No. of Chapters],Master_Data[Subject],'📊 Progress'!$C40,Master_Data[Class Test Book],"D")</f>
        <v>0</v>
      </c>
      <c r="I40" s="167">
        <f>SUMIFS(Master_Data[No. of Chapters],Master_Data[Subject],'📊 Progress'!$C40,Master_Data[Revision],"D")</f>
        <v>0</v>
      </c>
      <c r="J40" s="167">
        <f>SUMIFS(Master_Data[No. of Chapters],Master_Data[Subject],'📊 Progress'!$C40,Master_Data[Inst. Online Portal],"D")</f>
        <v>0</v>
      </c>
      <c r="K40" s="167">
        <f>SUMIFS(Master_Data[No. of Chapters],Master_Data[Subject],'📊 Progress'!$C40,Master_Data[Prac. Book],"D")</f>
        <v>0</v>
      </c>
      <c r="L40" s="167">
        <f>SUMIFS(Master_Data[No. of Chapters],Master_Data[Subject],'📊 Progress'!$C40,Master_Data[Schweser Prac. Bk 1],"D")</f>
        <v>0</v>
      </c>
      <c r="M40" s="167">
        <f>SUMIFS(Master_Data[No. of Chapters],Master_Data[Subject],'📊 Progress'!$C40,Master_Data[Schweser Prac. Bk 2],"D")</f>
        <v>0</v>
      </c>
      <c r="N40" s="168">
        <f>SUMIF(Master_Data[Subject],'📊 Progress'!C40,Master_Data[Subjectwise weighted average])</f>
        <v>2.1666666666666665</v>
      </c>
      <c r="O40" s="169">
        <f>SUMIFS(Master_Data[No. of Chapters],Master_Data[Subject],'📊 Progress'!C40)</f>
        <v>7</v>
      </c>
      <c r="P40" s="36">
        <f t="shared" si="11"/>
        <v>0</v>
      </c>
      <c r="Q40" s="36">
        <f t="shared" si="12"/>
        <v>7</v>
      </c>
      <c r="R40" s="36">
        <f t="shared" si="13"/>
        <v>0</v>
      </c>
      <c r="S40" s="36">
        <f t="shared" si="14"/>
        <v>7</v>
      </c>
      <c r="T40" s="36">
        <f t="shared" si="15"/>
        <v>7</v>
      </c>
      <c r="U40" s="36">
        <f t="shared" si="16"/>
        <v>0</v>
      </c>
      <c r="V40" s="36">
        <f t="shared" si="17"/>
        <v>7</v>
      </c>
      <c r="W40" s="35"/>
      <c r="X40" s="35"/>
      <c r="Y40" s="35" t="str">
        <f t="shared" si="18"/>
        <v>Alt. Invest.</v>
      </c>
      <c r="Z40" s="79">
        <f t="shared" si="19"/>
        <v>0</v>
      </c>
      <c r="AA40" s="79">
        <v>1</v>
      </c>
      <c r="AB40" s="79" t="str">
        <f t="shared" si="20"/>
        <v/>
      </c>
      <c r="AC40" s="79">
        <v>1</v>
      </c>
      <c r="AD40" s="79">
        <f t="shared" si="21"/>
        <v>0</v>
      </c>
      <c r="AE40" s="79">
        <v>1</v>
      </c>
      <c r="AF40" s="79" t="str">
        <f t="shared" si="22"/>
        <v/>
      </c>
      <c r="AG40" s="79">
        <v>1</v>
      </c>
      <c r="AH40" s="79">
        <f t="shared" si="23"/>
        <v>0.43333333333333329</v>
      </c>
      <c r="AI40" s="79">
        <v>1</v>
      </c>
      <c r="AJ40" s="35"/>
    </row>
    <row r="41" spans="2:39">
      <c r="B41" s="137">
        <v>2.5</v>
      </c>
      <c r="C41" s="164" t="s">
        <v>275</v>
      </c>
      <c r="D41" s="165">
        <f>SUMIFS(Master_Data[Duration (hh:mm)],Master_Data[Subject],'📊 Progress'!C41,Master_Data[Lectures],"d")</f>
        <v>0</v>
      </c>
      <c r="E41" s="166">
        <f>SUMIF(Master_Data[Subject],'📊 Progress'!C41,Master_Data[Duration (hh:mm)])</f>
        <v>0.84027777777777779</v>
      </c>
      <c r="F41" s="167">
        <f>SUMIFS(Master_Data[No. of Chapters],Master_Data[Subject],C41,Master_Data[Self Study],"D",Master_Data[Lectures],"D")</f>
        <v>0</v>
      </c>
      <c r="G41" s="167">
        <f>SUMIFS(Master_Data[No. of Chapters],Master_Data[Subject],'📊 Progress'!$C41,Master_Data[Inst. EOC Ques.],"D")</f>
        <v>0</v>
      </c>
      <c r="H41" s="167">
        <f>SUMIFS(Master_Data[No. of Chapters],Master_Data[Subject],'📊 Progress'!$C41,Master_Data[Class Test Book],"D")</f>
        <v>0</v>
      </c>
      <c r="I41" s="167">
        <f>SUMIFS(Master_Data[No. of Chapters],Master_Data[Subject],'📊 Progress'!$C41,Master_Data[Revision],"D")</f>
        <v>0</v>
      </c>
      <c r="J41" s="167">
        <f>SUMIFS(Master_Data[No. of Chapters],Master_Data[Subject],'📊 Progress'!$C41,Master_Data[Inst. Online Portal],"D")</f>
        <v>0</v>
      </c>
      <c r="K41" s="167">
        <f>SUMIFS(Master_Data[No. of Chapters],Master_Data[Subject],'📊 Progress'!$C41,Master_Data[Prac. Book],"D")</f>
        <v>0</v>
      </c>
      <c r="L41" s="167">
        <f>SUMIFS(Master_Data[No. of Chapters],Master_Data[Subject],'📊 Progress'!$C41,Master_Data[Schweser Prac. Bk 1],"D")</f>
        <v>0</v>
      </c>
      <c r="M41" s="167">
        <f>SUMIFS(Master_Data[No. of Chapters],Master_Data[Subject],'📊 Progress'!$C41,Master_Data[Schweser Prac. Bk 2],"D")</f>
        <v>0</v>
      </c>
      <c r="N41" s="168">
        <f>SUMIF(Master_Data[Subject],'📊 Progress'!C41,Master_Data[Subjectwise weighted average])</f>
        <v>2.6</v>
      </c>
      <c r="O41" s="169">
        <f>SUMIFS(Master_Data[No. of Chapters],Master_Data[Subject],'📊 Progress'!C41)</f>
        <v>6</v>
      </c>
      <c r="P41" s="36">
        <f t="shared" si="11"/>
        <v>0</v>
      </c>
      <c r="Q41" s="36">
        <f t="shared" si="12"/>
        <v>6</v>
      </c>
      <c r="R41" s="36">
        <f t="shared" si="13"/>
        <v>0</v>
      </c>
      <c r="S41" s="36">
        <f t="shared" si="14"/>
        <v>6</v>
      </c>
      <c r="T41" s="36">
        <f t="shared" si="15"/>
        <v>6</v>
      </c>
      <c r="U41" s="36">
        <f t="shared" si="16"/>
        <v>0</v>
      </c>
      <c r="V41" s="36">
        <f t="shared" si="17"/>
        <v>6</v>
      </c>
      <c r="W41" s="35"/>
      <c r="X41" s="35"/>
      <c r="Y41" s="35" t="str">
        <f t="shared" si="18"/>
        <v>Portfolio-1 and 2</v>
      </c>
      <c r="Z41" s="79">
        <f t="shared" si="19"/>
        <v>0</v>
      </c>
      <c r="AA41" s="79">
        <v>1</v>
      </c>
      <c r="AB41" s="79" t="str">
        <f t="shared" si="20"/>
        <v/>
      </c>
      <c r="AC41" s="79">
        <v>1</v>
      </c>
      <c r="AD41" s="79">
        <f t="shared" si="21"/>
        <v>0</v>
      </c>
      <c r="AE41" s="79">
        <v>1</v>
      </c>
      <c r="AF41" s="79" t="str">
        <f t="shared" si="22"/>
        <v/>
      </c>
      <c r="AG41" s="79">
        <v>1</v>
      </c>
      <c r="AH41" s="79">
        <f t="shared" si="23"/>
        <v>0.52</v>
      </c>
      <c r="AI41" s="79">
        <v>1</v>
      </c>
      <c r="AJ41" s="35"/>
    </row>
    <row r="42" spans="2:39">
      <c r="B42" s="137">
        <v>2.5</v>
      </c>
      <c r="C42" s="164" t="s">
        <v>11</v>
      </c>
      <c r="D42" s="165">
        <f>SUMIFS(Master_Data[Duration (hh:mm)],Master_Data[Subject],'📊 Progress'!C42,Master_Data[Lectures],"d")</f>
        <v>0</v>
      </c>
      <c r="E42" s="166">
        <f>SUMIF(Master_Data[Subject],'📊 Progress'!C42,Master_Data[Duration (hh:mm)])</f>
        <v>0.36805555555555558</v>
      </c>
      <c r="F42" s="167">
        <f>SUMIFS(Master_Data[No. of Chapters],Master_Data[Subject],C42,Master_Data[Self Study],"D",Master_Data[Lectures],"D")</f>
        <v>0</v>
      </c>
      <c r="G42" s="167">
        <f>SUMIFS(Master_Data[No. of Chapters],Master_Data[Subject],'📊 Progress'!$C42,Master_Data[Inst. EOC Ques.],"D")</f>
        <v>0</v>
      </c>
      <c r="H42" s="167">
        <f>SUMIFS(Master_Data[No. of Chapters],Master_Data[Subject],'📊 Progress'!$C42,Master_Data[Class Test Book],"D")</f>
        <v>0</v>
      </c>
      <c r="I42" s="167">
        <f>SUMIFS(Master_Data[No. of Chapters],Master_Data[Subject],'📊 Progress'!$C42,Master_Data[Revision],"D")</f>
        <v>0</v>
      </c>
      <c r="J42" s="167">
        <f>SUMIFS(Master_Data[No. of Chapters],Master_Data[Subject],'📊 Progress'!$C42,Master_Data[Inst. Online Portal],"D")</f>
        <v>0</v>
      </c>
      <c r="K42" s="167">
        <f>SUMIFS(Master_Data[No. of Chapters],Master_Data[Subject],'📊 Progress'!$C42,Master_Data[Prac. Book],"D")</f>
        <v>0</v>
      </c>
      <c r="L42" s="167">
        <f>SUMIFS(Master_Data[No. of Chapters],Master_Data[Subject],'📊 Progress'!$C42,Master_Data[Schweser Prac. Bk 1],"D")</f>
        <v>0</v>
      </c>
      <c r="M42" s="167">
        <f>SUMIFS(Master_Data[No. of Chapters],Master_Data[Subject],'📊 Progress'!$C42,Master_Data[Schweser Prac. Bk 2],"D")</f>
        <v>0</v>
      </c>
      <c r="N42" s="168">
        <f>SUMIF(Master_Data[Subject],'📊 Progress'!C42,Master_Data[Subjectwise weighted average])</f>
        <v>2.5833333333333335</v>
      </c>
      <c r="O42" s="169">
        <f>SUMIFS(Master_Data[No. of Chapters],Master_Data[Subject],'📊 Progress'!C42)</f>
        <v>5</v>
      </c>
      <c r="P42" s="36">
        <f t="shared" ref="P42" si="24">ROUND(AVERAGE(G42:H42),0)</f>
        <v>0</v>
      </c>
      <c r="Q42" s="36">
        <f t="shared" si="0"/>
        <v>5</v>
      </c>
      <c r="R42" s="36">
        <f t="shared" si="1"/>
        <v>0</v>
      </c>
      <c r="S42" s="36">
        <f t="shared" si="2"/>
        <v>5</v>
      </c>
      <c r="T42" s="36">
        <f t="shared" si="3"/>
        <v>5</v>
      </c>
      <c r="U42" s="36">
        <f t="shared" ref="U42" si="25">ROUND(AVERAGE(J42:M42),0)</f>
        <v>0</v>
      </c>
      <c r="V42" s="36">
        <f t="shared" si="4"/>
        <v>5</v>
      </c>
      <c r="W42" s="35"/>
      <c r="X42" s="35"/>
      <c r="Y42" s="35" t="str">
        <f t="shared" si="5"/>
        <v>Ethics</v>
      </c>
      <c r="Z42" s="79">
        <f t="shared" si="6"/>
        <v>0</v>
      </c>
      <c r="AA42" s="79">
        <v>1</v>
      </c>
      <c r="AB42" s="79" t="str">
        <f t="shared" si="7"/>
        <v/>
      </c>
      <c r="AC42" s="79">
        <v>1</v>
      </c>
      <c r="AD42" s="79">
        <f t="shared" si="8"/>
        <v>0</v>
      </c>
      <c r="AE42" s="79">
        <v>1</v>
      </c>
      <c r="AF42" s="79" t="str">
        <f t="shared" si="9"/>
        <v/>
      </c>
      <c r="AG42" s="79">
        <v>1</v>
      </c>
      <c r="AH42" s="79">
        <f t="shared" si="10"/>
        <v>0.51666666666666672</v>
      </c>
      <c r="AI42" s="79">
        <v>1</v>
      </c>
      <c r="AJ42" s="35"/>
    </row>
    <row r="43" spans="2:39" s="31" customFormat="1" ht="18.75">
      <c r="C43" s="170" t="s">
        <v>7</v>
      </c>
      <c r="D43" s="171">
        <f t="shared" ref="D43:M43" si="26">SUM(D33:D42)</f>
        <v>0</v>
      </c>
      <c r="E43" s="171">
        <f t="shared" si="26"/>
        <v>14.061805555555555</v>
      </c>
      <c r="F43" s="172">
        <f t="shared" si="26"/>
        <v>0</v>
      </c>
      <c r="G43" s="172">
        <f t="shared" si="26"/>
        <v>0</v>
      </c>
      <c r="H43" s="172">
        <f t="shared" si="26"/>
        <v>0</v>
      </c>
      <c r="I43" s="172">
        <f t="shared" si="26"/>
        <v>0</v>
      </c>
      <c r="J43" s="172">
        <f t="shared" si="26"/>
        <v>0</v>
      </c>
      <c r="K43" s="172">
        <f t="shared" si="26"/>
        <v>0</v>
      </c>
      <c r="L43" s="172">
        <f t="shared" si="26"/>
        <v>0</v>
      </c>
      <c r="M43" s="172">
        <f t="shared" si="26"/>
        <v>0</v>
      </c>
      <c r="N43" s="173">
        <f>'⏱ Input'!AE4</f>
        <v>5</v>
      </c>
      <c r="O43" s="172">
        <f>SUM(O33:O42)</f>
        <v>115</v>
      </c>
      <c r="P43" s="78"/>
      <c r="Q43" s="33"/>
      <c r="R43" s="33"/>
      <c r="S43" s="184">
        <f>SUM(S33:S42)</f>
        <v>115</v>
      </c>
      <c r="T43" s="37"/>
      <c r="U43" s="37"/>
      <c r="V43" s="33"/>
      <c r="W43" s="33"/>
      <c r="X43" s="34"/>
      <c r="Y43" s="34"/>
      <c r="Z43" s="34"/>
      <c r="AA43" s="34"/>
      <c r="AB43" s="34"/>
      <c r="AC43" s="34"/>
      <c r="AD43" s="34"/>
      <c r="AE43" s="34"/>
      <c r="AF43" s="34"/>
      <c r="AG43" s="34"/>
      <c r="AH43" s="33"/>
      <c r="AI43" s="33"/>
    </row>
    <row r="44" spans="2:39" ht="15" customHeight="1">
      <c r="C44" s="30"/>
      <c r="D44" s="30"/>
      <c r="E44" s="30"/>
      <c r="F44" s="30"/>
      <c r="G44" s="39"/>
      <c r="H44" s="30"/>
      <c r="I44" s="39"/>
      <c r="J44" s="39"/>
      <c r="K44" s="39"/>
      <c r="L44" s="39"/>
      <c r="M44" s="39"/>
      <c r="N44" s="39"/>
      <c r="O44" s="39"/>
      <c r="P44" s="38"/>
      <c r="Q44" s="38"/>
      <c r="R44" s="38"/>
      <c r="S44" s="38"/>
      <c r="T44" s="35"/>
      <c r="U44" s="35"/>
      <c r="V44" s="35"/>
      <c r="W44" s="35"/>
      <c r="X44" s="32"/>
      <c r="Y44" s="32"/>
      <c r="Z44" s="32"/>
      <c r="AA44" s="32"/>
      <c r="AB44" s="32"/>
      <c r="AC44" s="32"/>
      <c r="AD44" s="32"/>
      <c r="AE44" s="32"/>
      <c r="AF44" s="32"/>
      <c r="AG44" s="32"/>
      <c r="AH44" s="30"/>
      <c r="AI44" s="30"/>
      <c r="AJ44" s="30"/>
      <c r="AK44" s="30"/>
      <c r="AL44" s="30"/>
      <c r="AM44" s="30"/>
    </row>
    <row r="45" spans="2:39">
      <c r="B45" s="30"/>
      <c r="C45" s="30"/>
      <c r="D45" s="30"/>
      <c r="E45" s="30"/>
      <c r="F45" s="30"/>
      <c r="G45" s="30"/>
      <c r="H45" s="39"/>
      <c r="X45" s="29"/>
      <c r="Y45" s="29"/>
      <c r="Z45" s="29"/>
      <c r="AA45" s="29"/>
      <c r="AB45" s="29"/>
      <c r="AC45" s="29"/>
      <c r="AD45" s="29"/>
      <c r="AE45" s="29"/>
      <c r="AF45" s="29"/>
      <c r="AG45" s="30"/>
      <c r="AH45" s="30"/>
      <c r="AI45" s="30"/>
      <c r="AJ45" s="30"/>
      <c r="AK45" s="30"/>
      <c r="AL45" s="30"/>
      <c r="AM45" s="30"/>
    </row>
    <row r="46" spans="2:39">
      <c r="B46" s="30"/>
      <c r="D46" s="30"/>
      <c r="E46" s="30"/>
      <c r="F46" s="30"/>
      <c r="G46" s="30"/>
      <c r="H46" s="30"/>
      <c r="X46" s="29"/>
      <c r="Y46" s="29"/>
      <c r="Z46" s="29"/>
      <c r="AA46" s="29"/>
      <c r="AB46" s="29"/>
      <c r="AC46" s="29"/>
      <c r="AD46" s="29"/>
      <c r="AE46" s="29"/>
      <c r="AF46" s="29"/>
      <c r="AG46" s="30"/>
      <c r="AH46" s="30"/>
      <c r="AI46" s="30"/>
      <c r="AJ46" s="30"/>
      <c r="AK46" s="30"/>
      <c r="AL46" s="30"/>
      <c r="AM46" s="30"/>
    </row>
    <row r="47" spans="2:39">
      <c r="B47" s="30"/>
      <c r="D47" s="30"/>
      <c r="E47" s="30"/>
      <c r="F47" s="30"/>
      <c r="H47" s="30"/>
      <c r="X47" s="29"/>
      <c r="Y47" s="29"/>
      <c r="Z47" s="29"/>
      <c r="AA47" s="29"/>
      <c r="AB47" s="29"/>
      <c r="AC47" s="29"/>
      <c r="AD47" s="29"/>
      <c r="AE47" s="29"/>
      <c r="AF47" s="29"/>
      <c r="AG47" s="30"/>
      <c r="AH47" s="30"/>
      <c r="AI47" s="30"/>
      <c r="AJ47" s="30"/>
      <c r="AK47" s="30"/>
      <c r="AL47" s="30"/>
      <c r="AM47" s="30"/>
    </row>
    <row r="48" spans="2:39">
      <c r="D48" s="30"/>
      <c r="E48" s="30"/>
      <c r="F48" s="30"/>
      <c r="G48" s="30"/>
      <c r="I48" s="28"/>
      <c r="J48" s="28"/>
      <c r="K48" s="28"/>
      <c r="L48" s="28"/>
      <c r="M48" s="28"/>
      <c r="N48" s="28"/>
      <c r="O48" s="30"/>
      <c r="X48" s="29"/>
      <c r="Y48" s="29"/>
      <c r="Z48" s="29"/>
      <c r="AA48" s="29"/>
      <c r="AB48" s="29"/>
      <c r="AC48" s="29"/>
      <c r="AD48" s="29"/>
      <c r="AE48" s="29"/>
      <c r="AF48" s="29"/>
      <c r="AG48" s="30"/>
      <c r="AH48" s="30"/>
      <c r="AI48" s="30"/>
      <c r="AJ48" s="30"/>
      <c r="AK48" s="30"/>
      <c r="AL48" s="30"/>
      <c r="AM48" s="30"/>
    </row>
    <row r="49" spans="2:39">
      <c r="D49" s="30"/>
      <c r="E49" s="30"/>
      <c r="F49" s="30"/>
      <c r="G49" s="30"/>
      <c r="H49" s="30"/>
      <c r="O49" s="30"/>
      <c r="X49" s="29"/>
      <c r="Y49" s="29"/>
      <c r="Z49" s="29"/>
      <c r="AA49" s="29"/>
      <c r="AB49" s="29"/>
      <c r="AC49" s="29"/>
      <c r="AD49" s="29"/>
      <c r="AE49" s="29"/>
      <c r="AF49" s="29"/>
      <c r="AG49" s="30"/>
      <c r="AH49" s="30"/>
      <c r="AI49" s="30"/>
      <c r="AJ49" s="30"/>
      <c r="AK49" s="30"/>
      <c r="AL49" s="30"/>
      <c r="AM49" s="30"/>
    </row>
    <row r="50" spans="2:39">
      <c r="D50" s="30"/>
      <c r="E50" s="30"/>
      <c r="F50" s="30"/>
      <c r="G50" s="30"/>
      <c r="H50" s="30"/>
      <c r="O50" s="30"/>
      <c r="X50" s="29"/>
      <c r="Y50" s="29"/>
      <c r="Z50" s="29"/>
      <c r="AA50" s="29"/>
      <c r="AB50" s="29"/>
      <c r="AC50" s="29"/>
      <c r="AD50" s="29"/>
      <c r="AE50" s="29"/>
      <c r="AF50" s="29"/>
      <c r="AG50" s="30"/>
      <c r="AH50" s="30"/>
      <c r="AI50" s="30"/>
      <c r="AJ50" s="30"/>
      <c r="AK50" s="30"/>
      <c r="AL50" s="30"/>
      <c r="AM50" s="30"/>
    </row>
    <row r="51" spans="2:39">
      <c r="D51" s="30"/>
      <c r="E51" s="30"/>
      <c r="F51" s="30"/>
      <c r="G51" s="30"/>
      <c r="H51" s="30"/>
      <c r="O51" s="30"/>
      <c r="X51" s="29"/>
      <c r="Y51" s="29"/>
      <c r="Z51" s="29"/>
      <c r="AA51" s="29"/>
      <c r="AB51" s="29"/>
      <c r="AC51" s="29"/>
      <c r="AD51" s="29"/>
      <c r="AE51" s="29"/>
      <c r="AF51" s="29"/>
      <c r="AG51" s="30"/>
      <c r="AH51" s="30"/>
      <c r="AI51" s="30"/>
      <c r="AJ51" s="30"/>
      <c r="AK51" s="30"/>
      <c r="AL51" s="30"/>
      <c r="AM51" s="30"/>
    </row>
    <row r="52" spans="2:39">
      <c r="D52" s="30"/>
      <c r="E52" s="30"/>
      <c r="F52" s="30"/>
      <c r="G52" s="30"/>
      <c r="H52" s="30"/>
      <c r="O52" s="30"/>
      <c r="X52" s="29"/>
      <c r="Y52" s="29"/>
      <c r="Z52" s="29"/>
      <c r="AA52" s="29"/>
      <c r="AB52" s="29"/>
      <c r="AC52" s="29"/>
      <c r="AD52" s="29"/>
      <c r="AE52" s="29"/>
      <c r="AF52" s="29"/>
      <c r="AG52" s="30"/>
      <c r="AH52" s="30"/>
      <c r="AI52" s="30"/>
      <c r="AJ52" s="30"/>
      <c r="AK52" s="30"/>
      <c r="AL52" s="30"/>
      <c r="AM52" s="30"/>
    </row>
    <row r="53" spans="2:39">
      <c r="D53" s="30"/>
      <c r="E53" s="30"/>
      <c r="F53" s="30"/>
      <c r="G53" s="30"/>
      <c r="H53" s="30"/>
      <c r="O53" s="30"/>
      <c r="X53" s="29"/>
      <c r="Y53" s="29"/>
      <c r="Z53" s="29"/>
      <c r="AA53" s="29"/>
      <c r="AB53" s="29"/>
      <c r="AC53" s="29"/>
      <c r="AD53" s="29"/>
      <c r="AE53" s="29"/>
      <c r="AF53" s="29"/>
      <c r="AG53" s="30"/>
      <c r="AH53" s="30"/>
      <c r="AI53" s="30"/>
      <c r="AJ53" s="30"/>
      <c r="AK53" s="30"/>
      <c r="AL53" s="30"/>
      <c r="AM53" s="30"/>
    </row>
    <row r="54" spans="2:39">
      <c r="D54" s="30"/>
      <c r="E54" s="30"/>
      <c r="F54" s="30"/>
      <c r="G54" s="30"/>
      <c r="H54" s="30"/>
      <c r="O54" s="30"/>
      <c r="X54" s="29"/>
      <c r="Y54" s="29"/>
      <c r="Z54" s="29"/>
      <c r="AA54" s="29"/>
      <c r="AB54" s="29"/>
      <c r="AC54" s="29"/>
      <c r="AD54" s="29"/>
      <c r="AE54" s="29"/>
      <c r="AF54" s="29"/>
      <c r="AG54" s="30"/>
      <c r="AH54" s="30"/>
      <c r="AI54" s="30"/>
      <c r="AJ54" s="30"/>
      <c r="AK54" s="30"/>
      <c r="AL54" s="30"/>
      <c r="AM54" s="30"/>
    </row>
    <row r="55" spans="2:39">
      <c r="D55" s="30"/>
      <c r="E55" s="30"/>
      <c r="F55" s="30"/>
      <c r="G55" s="30"/>
      <c r="H55" s="30"/>
      <c r="O55" s="30"/>
      <c r="X55" s="29"/>
      <c r="Y55" s="29"/>
      <c r="Z55" s="29"/>
      <c r="AA55" s="29"/>
      <c r="AB55" s="29"/>
      <c r="AC55" s="29"/>
      <c r="AD55" s="29"/>
      <c r="AE55" s="29"/>
      <c r="AF55" s="29"/>
      <c r="AG55" s="30"/>
      <c r="AH55" s="30"/>
      <c r="AI55" s="30"/>
      <c r="AJ55" s="30"/>
      <c r="AK55" s="30"/>
      <c r="AL55" s="30"/>
      <c r="AM55" s="30"/>
    </row>
    <row r="56" spans="2:39">
      <c r="D56" s="30"/>
      <c r="E56" s="30"/>
      <c r="F56" s="30"/>
      <c r="G56" s="30"/>
      <c r="H56" s="30"/>
      <c r="O56" s="30"/>
      <c r="X56" s="29"/>
      <c r="Y56" s="29"/>
      <c r="Z56" s="29"/>
      <c r="AA56" s="29"/>
      <c r="AB56" s="29"/>
      <c r="AC56" s="29"/>
      <c r="AD56" s="29"/>
      <c r="AE56" s="29"/>
      <c r="AF56" s="29"/>
      <c r="AG56" s="30"/>
      <c r="AH56" s="30"/>
      <c r="AI56" s="30"/>
      <c r="AJ56" s="30"/>
      <c r="AK56" s="30"/>
      <c r="AL56" s="30"/>
      <c r="AM56" s="30"/>
    </row>
    <row r="57" spans="2:39">
      <c r="D57" s="30"/>
      <c r="E57" s="30"/>
      <c r="F57" s="30"/>
      <c r="G57" s="30"/>
      <c r="H57" s="30"/>
      <c r="O57" s="30"/>
      <c r="X57" s="29"/>
      <c r="Y57" s="29"/>
      <c r="Z57" s="29"/>
      <c r="AA57" s="29"/>
      <c r="AB57" s="29"/>
      <c r="AC57" s="29"/>
      <c r="AD57" s="29"/>
      <c r="AE57" s="29"/>
      <c r="AF57" s="29"/>
      <c r="AG57" s="30"/>
      <c r="AH57" s="30"/>
      <c r="AI57" s="30"/>
    </row>
    <row r="58" spans="2:39">
      <c r="D58" s="30"/>
      <c r="E58" s="30"/>
      <c r="F58" s="30"/>
      <c r="G58" s="30"/>
      <c r="H58" s="30"/>
      <c r="O58" s="30"/>
      <c r="X58" s="29"/>
      <c r="Y58" s="29"/>
      <c r="Z58" s="29"/>
      <c r="AA58" s="29"/>
      <c r="AB58" s="29"/>
      <c r="AC58" s="29"/>
      <c r="AD58" s="29"/>
      <c r="AE58" s="29"/>
      <c r="AF58" s="29"/>
      <c r="AG58" s="30"/>
      <c r="AH58" s="30"/>
      <c r="AI58" s="30"/>
    </row>
    <row r="59" spans="2:39">
      <c r="C59" s="30"/>
      <c r="D59" s="30"/>
      <c r="E59" s="30"/>
      <c r="F59" s="30"/>
      <c r="G59" s="30"/>
      <c r="H59" s="30"/>
      <c r="O59" s="30"/>
      <c r="X59" s="29"/>
      <c r="Y59" s="29"/>
      <c r="Z59" s="29"/>
      <c r="AA59" s="29"/>
      <c r="AB59" s="29"/>
      <c r="AC59" s="29"/>
      <c r="AD59" s="29"/>
      <c r="AE59" s="29"/>
      <c r="AF59" s="29"/>
      <c r="AG59" s="30"/>
      <c r="AH59" s="30"/>
      <c r="AI59" s="30"/>
    </row>
    <row r="60" spans="2:39">
      <c r="B60" s="30"/>
      <c r="C60" s="30"/>
      <c r="D60" s="30"/>
      <c r="E60" s="30"/>
      <c r="F60" s="30"/>
      <c r="G60" s="30"/>
      <c r="I60" s="28"/>
      <c r="J60" s="28"/>
      <c r="K60" s="28"/>
      <c r="L60" s="28"/>
      <c r="M60" s="28"/>
      <c r="N60" s="28"/>
      <c r="X60" s="29"/>
      <c r="Y60" s="29"/>
      <c r="Z60" s="29"/>
      <c r="AA60" s="29"/>
      <c r="AB60" s="29"/>
      <c r="AC60" s="29"/>
      <c r="AD60" s="29"/>
      <c r="AE60" s="29"/>
      <c r="AF60" s="29"/>
      <c r="AG60" s="30"/>
      <c r="AH60" s="30"/>
      <c r="AI60" s="30"/>
    </row>
    <row r="61" spans="2:39">
      <c r="B61" s="30"/>
      <c r="C61" s="30"/>
      <c r="D61" s="30"/>
      <c r="E61" s="30"/>
      <c r="F61" s="30"/>
      <c r="G61" s="30"/>
      <c r="I61" s="28"/>
      <c r="J61" s="28"/>
      <c r="K61" s="28"/>
      <c r="L61" s="28"/>
      <c r="M61" s="28"/>
      <c r="N61" s="28"/>
      <c r="X61" s="29"/>
      <c r="Y61" s="29"/>
      <c r="Z61" s="29"/>
      <c r="AA61" s="29"/>
      <c r="AB61" s="29"/>
      <c r="AC61" s="29"/>
      <c r="AD61" s="29"/>
      <c r="AE61" s="29"/>
      <c r="AF61" s="29"/>
      <c r="AG61" s="30"/>
      <c r="AH61" s="30"/>
      <c r="AI61" s="30"/>
    </row>
    <row r="62" spans="2:39">
      <c r="C62" s="30"/>
      <c r="D62" s="30"/>
      <c r="E62" s="30"/>
      <c r="F62" s="30"/>
      <c r="G62" s="30"/>
      <c r="H62" s="30"/>
      <c r="I62" s="28"/>
      <c r="J62" s="28"/>
      <c r="K62" s="28"/>
      <c r="L62" s="28"/>
      <c r="M62" s="28"/>
      <c r="N62" s="28"/>
      <c r="X62" s="29"/>
      <c r="Y62" s="29"/>
      <c r="Z62" s="29"/>
      <c r="AA62" s="29"/>
      <c r="AB62" s="29"/>
      <c r="AC62" s="29"/>
      <c r="AD62" s="29"/>
      <c r="AE62" s="29"/>
      <c r="AF62" s="29"/>
      <c r="AG62" s="30"/>
      <c r="AH62" s="30"/>
      <c r="AI62" s="30"/>
    </row>
    <row r="63" spans="2:39">
      <c r="C63" s="30"/>
      <c r="D63" s="30"/>
      <c r="E63" s="30"/>
      <c r="F63" s="30"/>
      <c r="G63" s="30"/>
      <c r="H63" s="30"/>
      <c r="O63" s="30"/>
      <c r="X63" s="29"/>
      <c r="Y63" s="29"/>
      <c r="Z63" s="29"/>
      <c r="AA63" s="29"/>
      <c r="AB63" s="29"/>
      <c r="AC63" s="29"/>
      <c r="AD63" s="29"/>
      <c r="AE63" s="29"/>
      <c r="AF63" s="29"/>
      <c r="AG63" s="30"/>
      <c r="AH63" s="30"/>
      <c r="AI63" s="30"/>
    </row>
    <row r="64" spans="2:39">
      <c r="C64" s="30"/>
      <c r="D64" s="30"/>
      <c r="E64" s="30"/>
      <c r="F64" s="30"/>
      <c r="G64" s="30"/>
      <c r="H64" s="30"/>
      <c r="O64" s="30"/>
      <c r="AD64" s="30"/>
      <c r="AE64" s="30"/>
      <c r="AF64" s="30"/>
      <c r="AG64" s="30"/>
      <c r="AH64" s="30"/>
      <c r="AI64" s="30"/>
    </row>
    <row r="65" spans="3:35">
      <c r="C65" s="30"/>
      <c r="D65" s="30"/>
      <c r="E65" s="30"/>
      <c r="F65" s="30"/>
      <c r="G65" s="30"/>
      <c r="H65" s="30"/>
      <c r="O65" s="30"/>
      <c r="AD65" s="30"/>
      <c r="AE65" s="30"/>
      <c r="AF65" s="30"/>
      <c r="AG65" s="30"/>
      <c r="AH65" s="30"/>
      <c r="AI65" s="30"/>
    </row>
    <row r="66" spans="3:35">
      <c r="C66" s="30"/>
      <c r="D66" s="30"/>
      <c r="E66" s="30"/>
      <c r="F66" s="30"/>
      <c r="G66" s="30"/>
      <c r="H66" s="30"/>
      <c r="O66" s="30"/>
      <c r="AD66" s="30"/>
      <c r="AE66" s="30"/>
      <c r="AF66" s="30"/>
      <c r="AG66" s="30"/>
      <c r="AH66" s="30"/>
      <c r="AI66" s="30"/>
    </row>
    <row r="67" spans="3:35">
      <c r="C67" s="30"/>
      <c r="D67" s="30"/>
      <c r="E67" s="30"/>
      <c r="F67" s="30"/>
      <c r="G67" s="30"/>
      <c r="H67" s="30"/>
      <c r="O67" s="30"/>
      <c r="AD67" s="30"/>
      <c r="AE67" s="30"/>
      <c r="AF67" s="30"/>
      <c r="AG67" s="30"/>
      <c r="AH67" s="30"/>
      <c r="AI67" s="30"/>
    </row>
    <row r="68" spans="3:35">
      <c r="C68" s="30"/>
      <c r="D68" s="30"/>
      <c r="E68" s="30"/>
      <c r="F68" s="30"/>
      <c r="G68" s="30"/>
      <c r="H68" s="30"/>
      <c r="O68" s="30"/>
      <c r="AD68" s="30"/>
      <c r="AE68" s="30"/>
      <c r="AF68" s="30"/>
      <c r="AG68" s="30"/>
      <c r="AH68" s="30"/>
      <c r="AI68" s="30"/>
    </row>
    <row r="69" spans="3:35">
      <c r="C69" s="30"/>
      <c r="D69" s="30"/>
      <c r="E69" s="30"/>
      <c r="F69" s="30"/>
      <c r="G69" s="30"/>
      <c r="H69" s="30"/>
      <c r="O69" s="30"/>
      <c r="AD69" s="30"/>
      <c r="AE69" s="30"/>
      <c r="AF69" s="30"/>
      <c r="AG69" s="30"/>
      <c r="AH69" s="30"/>
      <c r="AI69" s="30"/>
    </row>
    <row r="70" spans="3:35">
      <c r="C70" s="30"/>
      <c r="D70" s="30"/>
      <c r="E70" s="30"/>
      <c r="F70" s="30"/>
      <c r="G70" s="30"/>
      <c r="H70" s="30"/>
      <c r="O70" s="30"/>
      <c r="AD70" s="30"/>
      <c r="AE70" s="30"/>
      <c r="AF70" s="30"/>
      <c r="AG70" s="30"/>
      <c r="AH70" s="30"/>
      <c r="AI70" s="30"/>
    </row>
    <row r="71" spans="3:35">
      <c r="C71" s="30"/>
      <c r="D71" s="30"/>
      <c r="E71" s="30"/>
      <c r="F71" s="30"/>
      <c r="G71" s="30"/>
      <c r="H71" s="30"/>
      <c r="O71" s="30"/>
      <c r="AD71" s="30"/>
      <c r="AE71" s="30"/>
      <c r="AF71" s="30"/>
      <c r="AG71" s="30"/>
      <c r="AH71" s="30"/>
      <c r="AI71" s="30"/>
    </row>
    <row r="72" spans="3:35">
      <c r="C72" s="30"/>
      <c r="D72" s="30"/>
      <c r="E72" s="30"/>
      <c r="F72" s="30"/>
      <c r="G72" s="30"/>
      <c r="H72" s="30"/>
      <c r="O72" s="30"/>
      <c r="AD72" s="30"/>
      <c r="AE72" s="30"/>
      <c r="AF72" s="30"/>
      <c r="AG72" s="30"/>
      <c r="AH72" s="30"/>
      <c r="AI72" s="30"/>
    </row>
    <row r="73" spans="3:35">
      <c r="C73" s="30"/>
      <c r="D73" s="30"/>
      <c r="E73" s="30"/>
      <c r="F73" s="30"/>
      <c r="G73" s="30"/>
      <c r="H73" s="30"/>
      <c r="O73" s="30"/>
      <c r="AD73" s="30"/>
      <c r="AE73" s="30"/>
      <c r="AF73" s="30"/>
      <c r="AG73" s="30"/>
      <c r="AH73" s="30"/>
      <c r="AI73" s="30"/>
    </row>
    <row r="74" spans="3:35">
      <c r="C74" s="30"/>
      <c r="D74" s="30"/>
      <c r="E74" s="30"/>
      <c r="F74" s="30"/>
      <c r="G74" s="30"/>
      <c r="H74" s="30"/>
      <c r="O74" s="30"/>
      <c r="AD74" s="30"/>
      <c r="AE74" s="30"/>
      <c r="AF74" s="30"/>
      <c r="AG74" s="30"/>
      <c r="AH74" s="30"/>
      <c r="AI74" s="30"/>
    </row>
    <row r="75" spans="3:35">
      <c r="C75" s="30"/>
      <c r="D75" s="30"/>
      <c r="E75" s="30"/>
      <c r="F75" s="30"/>
      <c r="G75" s="30"/>
      <c r="H75" s="30"/>
      <c r="O75" s="30"/>
      <c r="AD75" s="30"/>
      <c r="AE75" s="30"/>
      <c r="AF75" s="30"/>
      <c r="AG75" s="30"/>
      <c r="AH75" s="30"/>
      <c r="AI75" s="30"/>
    </row>
    <row r="76" spans="3:35">
      <c r="C76" s="30"/>
      <c r="D76" s="30"/>
      <c r="E76" s="30"/>
      <c r="F76" s="30"/>
      <c r="H76" s="30"/>
      <c r="O76" s="30"/>
      <c r="AD76" s="30"/>
      <c r="AE76" s="30"/>
      <c r="AF76" s="30"/>
      <c r="AG76" s="30"/>
      <c r="AH76" s="30"/>
      <c r="AI76" s="30"/>
    </row>
    <row r="77" spans="3:35">
      <c r="C77" s="30"/>
      <c r="D77" s="30"/>
      <c r="E77" s="30"/>
      <c r="F77" s="30"/>
      <c r="O77" s="30"/>
      <c r="AD77" s="30"/>
      <c r="AE77" s="30"/>
      <c r="AF77" s="30"/>
      <c r="AG77" s="30"/>
      <c r="AH77" s="30"/>
      <c r="AI77" s="30"/>
    </row>
    <row r="78" spans="3:35">
      <c r="C78" s="30"/>
      <c r="D78" s="30"/>
      <c r="E78" s="30"/>
      <c r="F78" s="30"/>
      <c r="O78" s="30"/>
      <c r="AD78" s="30"/>
      <c r="AE78" s="30"/>
      <c r="AF78" s="30"/>
      <c r="AG78" s="30"/>
      <c r="AH78" s="30"/>
      <c r="AI78" s="30"/>
    </row>
    <row r="79" spans="3:35">
      <c r="C79" s="30"/>
      <c r="D79" s="30"/>
      <c r="E79" s="30"/>
      <c r="F79" s="30"/>
      <c r="AD79" s="30"/>
      <c r="AE79" s="30"/>
      <c r="AF79" s="30"/>
      <c r="AG79" s="30"/>
      <c r="AH79" s="30"/>
      <c r="AI79" s="30"/>
    </row>
    <row r="80" spans="3:35">
      <c r="C80" s="30"/>
      <c r="D80" s="30"/>
      <c r="E80" s="30"/>
      <c r="F80" s="30"/>
      <c r="AD80" s="30"/>
      <c r="AE80" s="30"/>
      <c r="AF80" s="30"/>
      <c r="AG80" s="30"/>
      <c r="AH80" s="30"/>
      <c r="AI80" s="30"/>
    </row>
    <row r="81" spans="3:35">
      <c r="C81" s="30"/>
      <c r="D81" s="30"/>
      <c r="E81" s="30"/>
      <c r="F81" s="30"/>
      <c r="AD81" s="30"/>
      <c r="AE81" s="30"/>
      <c r="AF81" s="30"/>
      <c r="AG81" s="30"/>
      <c r="AH81" s="30"/>
      <c r="AI81" s="30"/>
    </row>
    <row r="82" spans="3:35">
      <c r="C82" s="30"/>
      <c r="D82" s="30"/>
      <c r="E82" s="30"/>
      <c r="F82" s="30"/>
      <c r="AD82" s="30"/>
      <c r="AE82" s="30"/>
      <c r="AF82" s="30"/>
      <c r="AG82" s="30"/>
      <c r="AH82" s="30"/>
      <c r="AI82" s="30"/>
    </row>
    <row r="83" spans="3:35">
      <c r="C83" s="30"/>
      <c r="D83" s="30"/>
      <c r="E83" s="30"/>
      <c r="F83" s="30"/>
    </row>
    <row r="84" spans="3:35">
      <c r="C84" s="30"/>
      <c r="D84" s="30"/>
      <c r="E84" s="30"/>
      <c r="F84" s="30"/>
    </row>
    <row r="85" spans="3:35">
      <c r="C85" s="30"/>
      <c r="D85" s="30"/>
      <c r="E85" s="30"/>
      <c r="F85" s="30"/>
    </row>
    <row r="86" spans="3:35">
      <c r="C86" s="30"/>
      <c r="D86" s="30"/>
      <c r="E86" s="30"/>
      <c r="F86" s="30"/>
    </row>
    <row r="87" spans="3:35">
      <c r="C87" s="30"/>
      <c r="D87" s="30"/>
      <c r="E87" s="30"/>
      <c r="F87" s="30"/>
    </row>
    <row r="88" spans="3:35">
      <c r="C88" s="30"/>
      <c r="D88" s="30"/>
      <c r="E88" s="30"/>
      <c r="F88" s="30"/>
    </row>
    <row r="89" spans="3:35">
      <c r="C89" s="30"/>
      <c r="D89" s="30"/>
      <c r="E89" s="30"/>
      <c r="F89" s="30"/>
    </row>
    <row r="90" spans="3:35">
      <c r="C90" s="30"/>
      <c r="D90" s="30"/>
      <c r="E90" s="30"/>
      <c r="F90" s="30"/>
    </row>
    <row r="91" spans="3:35">
      <c r="C91" s="30"/>
      <c r="D91" s="30"/>
      <c r="E91" s="30"/>
      <c r="F91" s="30"/>
    </row>
  </sheetData>
  <sheetProtection algorithmName="SHA-512" hashValue="9uB3bHyjP1M1YO2s5yLr7F85eK6PB0h3yB1Ja+fqxpA5URns6/Vi4wn8NUwtJFnWMadM6bcpXOtmMYRGlsZyKA==" saltValue="farVN7YoWJwDpRqJ9cOTiQ==" spinCount="100000" sheet="1" selectLockedCells="1" selectUnlockedCells="1"/>
  <mergeCells count="9">
    <mergeCell ref="T26:T27"/>
    <mergeCell ref="C2:O3"/>
    <mergeCell ref="D31:F31"/>
    <mergeCell ref="C31:C32"/>
    <mergeCell ref="O31:O32"/>
    <mergeCell ref="G31:H31"/>
    <mergeCell ref="J31:M31"/>
    <mergeCell ref="N31:N32"/>
    <mergeCell ref="B5:Q6"/>
  </mergeCells>
  <conditionalFormatting sqref="D33:E33">
    <cfRule type="dataBar" priority="18">
      <dataBar>
        <cfvo type="min"/>
        <cfvo type="max"/>
        <color theme="2"/>
      </dataBar>
      <extLst>
        <ext xmlns:x14="http://schemas.microsoft.com/office/spreadsheetml/2009/9/main" uri="{B025F937-C7B1-47D3-B67F-A62EFF666E3E}">
          <x14:id>{9F1BBDA2-42CF-4870-BC31-6950768D5B2E}</x14:id>
        </ext>
      </extLst>
    </cfRule>
  </conditionalFormatting>
  <conditionalFormatting sqref="D34:E34">
    <cfRule type="dataBar" priority="6">
      <dataBar>
        <cfvo type="min"/>
        <cfvo type="max"/>
        <color theme="2"/>
      </dataBar>
      <extLst>
        <ext xmlns:x14="http://schemas.microsoft.com/office/spreadsheetml/2009/9/main" uri="{B025F937-C7B1-47D3-B67F-A62EFF666E3E}">
          <x14:id>{AE39BBF6-AC4D-408C-A608-70A264461348}</x14:id>
        </ext>
      </extLst>
    </cfRule>
  </conditionalFormatting>
  <conditionalFormatting sqref="D35:E35">
    <cfRule type="dataBar" priority="5">
      <dataBar>
        <cfvo type="min"/>
        <cfvo type="max"/>
        <color theme="2"/>
      </dataBar>
      <extLst>
        <ext xmlns:x14="http://schemas.microsoft.com/office/spreadsheetml/2009/9/main" uri="{B025F937-C7B1-47D3-B67F-A62EFF666E3E}">
          <x14:id>{B16E2956-24BA-48C6-B8A0-0ACDBDB6C793}</x14:id>
        </ext>
      </extLst>
    </cfRule>
  </conditionalFormatting>
  <conditionalFormatting sqref="D36:E36">
    <cfRule type="dataBar" priority="15">
      <dataBar>
        <cfvo type="min"/>
        <cfvo type="max"/>
        <color theme="2"/>
      </dataBar>
      <extLst>
        <ext xmlns:x14="http://schemas.microsoft.com/office/spreadsheetml/2009/9/main" uri="{B025F937-C7B1-47D3-B67F-A62EFF666E3E}">
          <x14:id>{E7EBB855-916F-4207-ABA3-F9740DCE49B7}</x14:id>
        </ext>
      </extLst>
    </cfRule>
  </conditionalFormatting>
  <conditionalFormatting sqref="D37:E37">
    <cfRule type="dataBar" priority="17">
      <dataBar>
        <cfvo type="min"/>
        <cfvo type="max"/>
        <color theme="2"/>
      </dataBar>
      <extLst>
        <ext xmlns:x14="http://schemas.microsoft.com/office/spreadsheetml/2009/9/main" uri="{B025F937-C7B1-47D3-B67F-A62EFF666E3E}">
          <x14:id>{858FAF06-12F6-410D-BA4B-51C970D09B29}</x14:id>
        </ext>
      </extLst>
    </cfRule>
  </conditionalFormatting>
  <conditionalFormatting sqref="D38:E38">
    <cfRule type="dataBar" priority="14">
      <dataBar>
        <cfvo type="min"/>
        <cfvo type="max"/>
        <color theme="2"/>
      </dataBar>
      <extLst>
        <ext xmlns:x14="http://schemas.microsoft.com/office/spreadsheetml/2009/9/main" uri="{B025F937-C7B1-47D3-B67F-A62EFF666E3E}">
          <x14:id>{95A34E89-55B1-4A9B-AE65-4EEDE04A6876}</x14:id>
        </ext>
      </extLst>
    </cfRule>
  </conditionalFormatting>
  <conditionalFormatting sqref="D39:E39">
    <cfRule type="dataBar" priority="13">
      <dataBar>
        <cfvo type="min"/>
        <cfvo type="max"/>
        <color theme="2"/>
      </dataBar>
      <extLst>
        <ext xmlns:x14="http://schemas.microsoft.com/office/spreadsheetml/2009/9/main" uri="{B025F937-C7B1-47D3-B67F-A62EFF666E3E}">
          <x14:id>{30FABE33-45FA-400C-ACE6-932C6E3F9C2B}</x14:id>
        </ext>
      </extLst>
    </cfRule>
  </conditionalFormatting>
  <conditionalFormatting sqref="D40:E40">
    <cfRule type="dataBar" priority="12">
      <dataBar>
        <cfvo type="min"/>
        <cfvo type="max"/>
        <color theme="2"/>
      </dataBar>
      <extLst>
        <ext xmlns:x14="http://schemas.microsoft.com/office/spreadsheetml/2009/9/main" uri="{B025F937-C7B1-47D3-B67F-A62EFF666E3E}">
          <x14:id>{6BC51323-A803-468B-8B91-192C87775742}</x14:id>
        </ext>
      </extLst>
    </cfRule>
  </conditionalFormatting>
  <conditionalFormatting sqref="D41:E41">
    <cfRule type="dataBar" priority="11">
      <dataBar>
        <cfvo type="min"/>
        <cfvo type="max"/>
        <color theme="2"/>
      </dataBar>
      <extLst>
        <ext xmlns:x14="http://schemas.microsoft.com/office/spreadsheetml/2009/9/main" uri="{B025F937-C7B1-47D3-B67F-A62EFF666E3E}">
          <x14:id>{548F3940-90AF-40F3-96B0-3A44167035B0}</x14:id>
        </ext>
      </extLst>
    </cfRule>
  </conditionalFormatting>
  <conditionalFormatting sqref="D42:E42">
    <cfRule type="dataBar" priority="9">
      <dataBar>
        <cfvo type="min"/>
        <cfvo type="max"/>
        <color theme="2"/>
      </dataBar>
      <extLst>
        <ext xmlns:x14="http://schemas.microsoft.com/office/spreadsheetml/2009/9/main" uri="{B025F937-C7B1-47D3-B67F-A62EFF666E3E}">
          <x14:id>{D516836D-EA3C-4576-95BC-D8EF186FD87E}</x14:id>
        </ext>
      </extLst>
    </cfRule>
  </conditionalFormatting>
  <conditionalFormatting sqref="N33:N43">
    <cfRule type="dataBar" priority="212">
      <dataBar>
        <cfvo type="min"/>
        <cfvo type="max"/>
        <color theme="2"/>
      </dataBar>
      <extLst>
        <ext xmlns:x14="http://schemas.microsoft.com/office/spreadsheetml/2009/9/main" uri="{B025F937-C7B1-47D3-B67F-A62EFF666E3E}">
          <x14:id>{03DE95BE-3C15-45C9-A3A3-FEF229BCD047}</x14:id>
        </ext>
      </extLst>
    </cfRule>
  </conditionalFormatting>
  <conditionalFormatting sqref="O33">
    <cfRule type="dataBar" priority="68">
      <dataBar>
        <cfvo type="min"/>
        <cfvo type="max"/>
        <color theme="2"/>
      </dataBar>
      <extLst>
        <ext xmlns:x14="http://schemas.microsoft.com/office/spreadsheetml/2009/9/main" uri="{B025F937-C7B1-47D3-B67F-A62EFF666E3E}">
          <x14:id>{4BE4F2C4-9230-4C51-9E97-D225E9A5D985}</x14:id>
        </ext>
      </extLst>
    </cfRule>
  </conditionalFormatting>
  <conditionalFormatting sqref="O34">
    <cfRule type="dataBar" priority="4">
      <dataBar>
        <cfvo type="min"/>
        <cfvo type="max"/>
        <color theme="2"/>
      </dataBar>
      <extLst>
        <ext xmlns:x14="http://schemas.microsoft.com/office/spreadsheetml/2009/9/main" uri="{B025F937-C7B1-47D3-B67F-A62EFF666E3E}">
          <x14:id>{1C5EAD17-DAAF-4F46-828E-369F7CB8CB29}</x14:id>
        </ext>
      </extLst>
    </cfRule>
  </conditionalFormatting>
  <conditionalFormatting sqref="O35">
    <cfRule type="dataBar" priority="2">
      <dataBar>
        <cfvo type="min"/>
        <cfvo type="max"/>
        <color theme="2"/>
      </dataBar>
      <extLst>
        <ext xmlns:x14="http://schemas.microsoft.com/office/spreadsheetml/2009/9/main" uri="{B025F937-C7B1-47D3-B67F-A62EFF666E3E}">
          <x14:id>{D79C3DF9-233F-4FA8-993D-E63E14BED949}</x14:id>
        </ext>
      </extLst>
    </cfRule>
  </conditionalFormatting>
  <conditionalFormatting sqref="O36">
    <cfRule type="dataBar" priority="1">
      <dataBar>
        <cfvo type="min"/>
        <cfvo type="max"/>
        <color theme="2"/>
      </dataBar>
      <extLst>
        <ext xmlns:x14="http://schemas.microsoft.com/office/spreadsheetml/2009/9/main" uri="{B025F937-C7B1-47D3-B67F-A62EFF666E3E}">
          <x14:id>{BF129B18-F4FF-41F1-A2EA-AF76456725A8}</x14:id>
        </ext>
      </extLst>
    </cfRule>
  </conditionalFormatting>
  <conditionalFormatting sqref="O37">
    <cfRule type="dataBar" priority="3">
      <dataBar>
        <cfvo type="min"/>
        <cfvo type="max"/>
        <color theme="2"/>
      </dataBar>
      <extLst>
        <ext xmlns:x14="http://schemas.microsoft.com/office/spreadsheetml/2009/9/main" uri="{B025F937-C7B1-47D3-B67F-A62EFF666E3E}">
          <x14:id>{170B2944-00AB-4CB2-9C87-81D88303F052}</x14:id>
        </ext>
      </extLst>
    </cfRule>
  </conditionalFormatting>
  <conditionalFormatting sqref="O38">
    <cfRule type="dataBar" priority="72">
      <dataBar>
        <cfvo type="min"/>
        <cfvo type="max"/>
        <color theme="2"/>
      </dataBar>
      <extLst>
        <ext xmlns:x14="http://schemas.microsoft.com/office/spreadsheetml/2009/9/main" uri="{B025F937-C7B1-47D3-B67F-A62EFF666E3E}">
          <x14:id>{47D12EEF-1E7C-443B-98EE-26AEB387CDA1}</x14:id>
        </ext>
      </extLst>
    </cfRule>
  </conditionalFormatting>
  <conditionalFormatting sqref="O39">
    <cfRule type="dataBar" priority="73">
      <dataBar>
        <cfvo type="min"/>
        <cfvo type="max"/>
        <color theme="2"/>
      </dataBar>
      <extLst>
        <ext xmlns:x14="http://schemas.microsoft.com/office/spreadsheetml/2009/9/main" uri="{B025F937-C7B1-47D3-B67F-A62EFF666E3E}">
          <x14:id>{9BC54A58-BBA8-4FC3-B5A3-D76F5738DB8F}</x14:id>
        </ext>
      </extLst>
    </cfRule>
  </conditionalFormatting>
  <conditionalFormatting sqref="O40">
    <cfRule type="dataBar" priority="74">
      <dataBar>
        <cfvo type="min"/>
        <cfvo type="max"/>
        <color theme="2"/>
      </dataBar>
      <extLst>
        <ext xmlns:x14="http://schemas.microsoft.com/office/spreadsheetml/2009/9/main" uri="{B025F937-C7B1-47D3-B67F-A62EFF666E3E}">
          <x14:id>{4EADCBAB-DAE2-4EA0-8232-DD2B6BEBA9B7}</x14:id>
        </ext>
      </extLst>
    </cfRule>
  </conditionalFormatting>
  <conditionalFormatting sqref="O41">
    <cfRule type="dataBar" priority="75">
      <dataBar>
        <cfvo type="min"/>
        <cfvo type="max"/>
        <color theme="2"/>
      </dataBar>
      <extLst>
        <ext xmlns:x14="http://schemas.microsoft.com/office/spreadsheetml/2009/9/main" uri="{B025F937-C7B1-47D3-B67F-A62EFF666E3E}">
          <x14:id>{F84A0C4E-2D9D-4396-994A-4744E977A427}</x14:id>
        </ext>
      </extLst>
    </cfRule>
  </conditionalFormatting>
  <conditionalFormatting sqref="O42">
    <cfRule type="dataBar" priority="77">
      <dataBar>
        <cfvo type="min"/>
        <cfvo type="max"/>
        <color theme="2"/>
      </dataBar>
      <extLst>
        <ext xmlns:x14="http://schemas.microsoft.com/office/spreadsheetml/2009/9/main" uri="{B025F937-C7B1-47D3-B67F-A62EFF666E3E}">
          <x14:id>{6394B859-9BAB-4F6C-86A4-7C523F9AF77B}</x14:id>
        </ext>
      </extLst>
    </cfRule>
  </conditionalFormatting>
  <pageMargins left="0.70866141732283472" right="0.70866141732283472" top="0.74803149606299213" bottom="0.74803149606299213" header="0.31496062992125984" footer="0.31496062992125984"/>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9F1BBDA2-42CF-4870-BC31-6950768D5B2E}">
            <x14:dataBar minLength="0" maxLength="100" gradient="0">
              <x14:cfvo type="autoMin"/>
              <x14:cfvo type="autoMax"/>
              <x14:negativeFillColor rgb="FFFF0000"/>
              <x14:axisColor rgb="FF000000"/>
            </x14:dataBar>
          </x14:cfRule>
          <xm:sqref>D33:E33</xm:sqref>
        </x14:conditionalFormatting>
        <x14:conditionalFormatting xmlns:xm="http://schemas.microsoft.com/office/excel/2006/main">
          <x14:cfRule type="dataBar" id="{AE39BBF6-AC4D-408C-A608-70A264461348}">
            <x14:dataBar minLength="0" maxLength="100" gradient="0">
              <x14:cfvo type="autoMin"/>
              <x14:cfvo type="autoMax"/>
              <x14:negativeFillColor rgb="FFFF0000"/>
              <x14:axisColor rgb="FF000000"/>
            </x14:dataBar>
          </x14:cfRule>
          <xm:sqref>D34:E34</xm:sqref>
        </x14:conditionalFormatting>
        <x14:conditionalFormatting xmlns:xm="http://schemas.microsoft.com/office/excel/2006/main">
          <x14:cfRule type="dataBar" id="{B16E2956-24BA-48C6-B8A0-0ACDBDB6C793}">
            <x14:dataBar minLength="0" maxLength="100" gradient="0">
              <x14:cfvo type="autoMin"/>
              <x14:cfvo type="autoMax"/>
              <x14:negativeFillColor rgb="FFFF0000"/>
              <x14:axisColor rgb="FF000000"/>
            </x14:dataBar>
          </x14:cfRule>
          <xm:sqref>D35:E35</xm:sqref>
        </x14:conditionalFormatting>
        <x14:conditionalFormatting xmlns:xm="http://schemas.microsoft.com/office/excel/2006/main">
          <x14:cfRule type="dataBar" id="{E7EBB855-916F-4207-ABA3-F9740DCE49B7}">
            <x14:dataBar minLength="0" maxLength="100" gradient="0">
              <x14:cfvo type="autoMin"/>
              <x14:cfvo type="autoMax"/>
              <x14:negativeFillColor rgb="FFFF0000"/>
              <x14:axisColor rgb="FF000000"/>
            </x14:dataBar>
          </x14:cfRule>
          <xm:sqref>D36:E36</xm:sqref>
        </x14:conditionalFormatting>
        <x14:conditionalFormatting xmlns:xm="http://schemas.microsoft.com/office/excel/2006/main">
          <x14:cfRule type="dataBar" id="{858FAF06-12F6-410D-BA4B-51C970D09B29}">
            <x14:dataBar minLength="0" maxLength="100" gradient="0">
              <x14:cfvo type="autoMin"/>
              <x14:cfvo type="autoMax"/>
              <x14:negativeFillColor rgb="FFFF0000"/>
              <x14:axisColor rgb="FF000000"/>
            </x14:dataBar>
          </x14:cfRule>
          <xm:sqref>D37:E37</xm:sqref>
        </x14:conditionalFormatting>
        <x14:conditionalFormatting xmlns:xm="http://schemas.microsoft.com/office/excel/2006/main">
          <x14:cfRule type="dataBar" id="{95A34E89-55B1-4A9B-AE65-4EEDE04A6876}">
            <x14:dataBar minLength="0" maxLength="100" gradient="0">
              <x14:cfvo type="autoMin"/>
              <x14:cfvo type="autoMax"/>
              <x14:negativeFillColor rgb="FFFF0000"/>
              <x14:axisColor rgb="FF000000"/>
            </x14:dataBar>
          </x14:cfRule>
          <xm:sqref>D38:E38</xm:sqref>
        </x14:conditionalFormatting>
        <x14:conditionalFormatting xmlns:xm="http://schemas.microsoft.com/office/excel/2006/main">
          <x14:cfRule type="dataBar" id="{30FABE33-45FA-400C-ACE6-932C6E3F9C2B}">
            <x14:dataBar minLength="0" maxLength="100" gradient="0">
              <x14:cfvo type="autoMin"/>
              <x14:cfvo type="autoMax"/>
              <x14:negativeFillColor rgb="FFFF0000"/>
              <x14:axisColor rgb="FF000000"/>
            </x14:dataBar>
          </x14:cfRule>
          <xm:sqref>D39:E39</xm:sqref>
        </x14:conditionalFormatting>
        <x14:conditionalFormatting xmlns:xm="http://schemas.microsoft.com/office/excel/2006/main">
          <x14:cfRule type="dataBar" id="{6BC51323-A803-468B-8B91-192C87775742}">
            <x14:dataBar minLength="0" maxLength="100" gradient="0">
              <x14:cfvo type="autoMin"/>
              <x14:cfvo type="autoMax"/>
              <x14:negativeFillColor rgb="FFFF0000"/>
              <x14:axisColor rgb="FF000000"/>
            </x14:dataBar>
          </x14:cfRule>
          <xm:sqref>D40:E40</xm:sqref>
        </x14:conditionalFormatting>
        <x14:conditionalFormatting xmlns:xm="http://schemas.microsoft.com/office/excel/2006/main">
          <x14:cfRule type="dataBar" id="{548F3940-90AF-40F3-96B0-3A44167035B0}">
            <x14:dataBar minLength="0" maxLength="100" gradient="0">
              <x14:cfvo type="autoMin"/>
              <x14:cfvo type="autoMax"/>
              <x14:negativeFillColor rgb="FFFF0000"/>
              <x14:axisColor rgb="FF000000"/>
            </x14:dataBar>
          </x14:cfRule>
          <xm:sqref>D41:E41</xm:sqref>
        </x14:conditionalFormatting>
        <x14:conditionalFormatting xmlns:xm="http://schemas.microsoft.com/office/excel/2006/main">
          <x14:cfRule type="dataBar" id="{D516836D-EA3C-4576-95BC-D8EF186FD87E}">
            <x14:dataBar minLength="0" maxLength="100" gradient="0">
              <x14:cfvo type="autoMin"/>
              <x14:cfvo type="autoMax"/>
              <x14:negativeFillColor rgb="FFFF0000"/>
              <x14:axisColor rgb="FF000000"/>
            </x14:dataBar>
          </x14:cfRule>
          <xm:sqref>D42:E42</xm:sqref>
        </x14:conditionalFormatting>
        <x14:conditionalFormatting xmlns:xm="http://schemas.microsoft.com/office/excel/2006/main">
          <x14:cfRule type="dataBar" id="{03DE95BE-3C15-45C9-A3A3-FEF229BCD047}">
            <x14:dataBar minLength="0" maxLength="100" gradient="0">
              <x14:cfvo type="autoMin"/>
              <x14:cfvo type="autoMax"/>
              <x14:negativeFillColor rgb="FFFF0000"/>
              <x14:axisColor rgb="FF000000"/>
            </x14:dataBar>
          </x14:cfRule>
          <xm:sqref>N33:N43</xm:sqref>
        </x14:conditionalFormatting>
        <x14:conditionalFormatting xmlns:xm="http://schemas.microsoft.com/office/excel/2006/main">
          <x14:cfRule type="dataBar" id="{4BE4F2C4-9230-4C51-9E97-D225E9A5D985}">
            <x14:dataBar minLength="0" maxLength="100" gradient="0">
              <x14:cfvo type="autoMin"/>
              <x14:cfvo type="autoMax"/>
              <x14:negativeFillColor rgb="FFFF0000"/>
              <x14:axisColor rgb="FF000000"/>
            </x14:dataBar>
          </x14:cfRule>
          <xm:sqref>O33</xm:sqref>
        </x14:conditionalFormatting>
        <x14:conditionalFormatting xmlns:xm="http://schemas.microsoft.com/office/excel/2006/main">
          <x14:cfRule type="dataBar" id="{1C5EAD17-DAAF-4F46-828E-369F7CB8CB29}">
            <x14:dataBar minLength="0" maxLength="100" gradient="0">
              <x14:cfvo type="autoMin"/>
              <x14:cfvo type="autoMax"/>
              <x14:negativeFillColor rgb="FFFF0000"/>
              <x14:axisColor rgb="FF000000"/>
            </x14:dataBar>
          </x14:cfRule>
          <xm:sqref>O34</xm:sqref>
        </x14:conditionalFormatting>
        <x14:conditionalFormatting xmlns:xm="http://schemas.microsoft.com/office/excel/2006/main">
          <x14:cfRule type="dataBar" id="{D79C3DF9-233F-4FA8-993D-E63E14BED949}">
            <x14:dataBar minLength="0" maxLength="100" gradient="0">
              <x14:cfvo type="autoMin"/>
              <x14:cfvo type="autoMax"/>
              <x14:negativeFillColor rgb="FFFF0000"/>
              <x14:axisColor rgb="FF000000"/>
            </x14:dataBar>
          </x14:cfRule>
          <xm:sqref>O35</xm:sqref>
        </x14:conditionalFormatting>
        <x14:conditionalFormatting xmlns:xm="http://schemas.microsoft.com/office/excel/2006/main">
          <x14:cfRule type="dataBar" id="{BF129B18-F4FF-41F1-A2EA-AF76456725A8}">
            <x14:dataBar minLength="0" maxLength="100" gradient="0">
              <x14:cfvo type="autoMin"/>
              <x14:cfvo type="autoMax"/>
              <x14:negativeFillColor rgb="FFFF0000"/>
              <x14:axisColor rgb="FF000000"/>
            </x14:dataBar>
          </x14:cfRule>
          <xm:sqref>O36</xm:sqref>
        </x14:conditionalFormatting>
        <x14:conditionalFormatting xmlns:xm="http://schemas.microsoft.com/office/excel/2006/main">
          <x14:cfRule type="dataBar" id="{170B2944-00AB-4CB2-9C87-81D88303F052}">
            <x14:dataBar minLength="0" maxLength="100" gradient="0">
              <x14:cfvo type="autoMin"/>
              <x14:cfvo type="autoMax"/>
              <x14:negativeFillColor rgb="FFFF0000"/>
              <x14:axisColor rgb="FF000000"/>
            </x14:dataBar>
          </x14:cfRule>
          <xm:sqref>O37</xm:sqref>
        </x14:conditionalFormatting>
        <x14:conditionalFormatting xmlns:xm="http://schemas.microsoft.com/office/excel/2006/main">
          <x14:cfRule type="dataBar" id="{47D12EEF-1E7C-443B-98EE-26AEB387CDA1}">
            <x14:dataBar minLength="0" maxLength="100" gradient="0">
              <x14:cfvo type="autoMin"/>
              <x14:cfvo type="autoMax"/>
              <x14:negativeFillColor rgb="FFFF0000"/>
              <x14:axisColor rgb="FF000000"/>
            </x14:dataBar>
          </x14:cfRule>
          <xm:sqref>O38</xm:sqref>
        </x14:conditionalFormatting>
        <x14:conditionalFormatting xmlns:xm="http://schemas.microsoft.com/office/excel/2006/main">
          <x14:cfRule type="dataBar" id="{9BC54A58-BBA8-4FC3-B5A3-D76F5738DB8F}">
            <x14:dataBar minLength="0" maxLength="100" gradient="0">
              <x14:cfvo type="autoMin"/>
              <x14:cfvo type="autoMax"/>
              <x14:negativeFillColor rgb="FFFF0000"/>
              <x14:axisColor rgb="FF000000"/>
            </x14:dataBar>
          </x14:cfRule>
          <xm:sqref>O39</xm:sqref>
        </x14:conditionalFormatting>
        <x14:conditionalFormatting xmlns:xm="http://schemas.microsoft.com/office/excel/2006/main">
          <x14:cfRule type="dataBar" id="{4EADCBAB-DAE2-4EA0-8232-DD2B6BEBA9B7}">
            <x14:dataBar minLength="0" maxLength="100" gradient="0">
              <x14:cfvo type="autoMin"/>
              <x14:cfvo type="autoMax"/>
              <x14:negativeFillColor rgb="FFFF0000"/>
              <x14:axisColor rgb="FF000000"/>
            </x14:dataBar>
          </x14:cfRule>
          <xm:sqref>O40</xm:sqref>
        </x14:conditionalFormatting>
        <x14:conditionalFormatting xmlns:xm="http://schemas.microsoft.com/office/excel/2006/main">
          <x14:cfRule type="dataBar" id="{F84A0C4E-2D9D-4396-994A-4744E977A427}">
            <x14:dataBar minLength="0" maxLength="100" gradient="0">
              <x14:cfvo type="autoMin"/>
              <x14:cfvo type="autoMax"/>
              <x14:negativeFillColor rgb="FFFF0000"/>
              <x14:axisColor rgb="FF000000"/>
            </x14:dataBar>
          </x14:cfRule>
          <xm:sqref>O41</xm:sqref>
        </x14:conditionalFormatting>
        <x14:conditionalFormatting xmlns:xm="http://schemas.microsoft.com/office/excel/2006/main">
          <x14:cfRule type="dataBar" id="{6394B859-9BAB-4F6C-86A4-7C523F9AF77B}">
            <x14:dataBar minLength="0" maxLength="100" gradient="0">
              <x14:cfvo type="autoMin"/>
              <x14:cfvo type="autoMax"/>
              <x14:negativeFillColor rgb="FFFF0000"/>
              <x14:axisColor rgb="FF000000"/>
            </x14:dataBar>
          </x14:cfRule>
          <xm:sqref>O42</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49DFC-73DE-4BBD-B5DE-AD5BB3173EBB}">
  <sheetPr codeName="Sheet4">
    <tabColor theme="5" tint="0.39997558519241921"/>
    <pageSetUpPr fitToPage="1"/>
  </sheetPr>
  <dimension ref="B1:AD45"/>
  <sheetViews>
    <sheetView topLeftCell="A28" zoomScaleNormal="100" workbookViewId="0">
      <selection activeCell="I38" sqref="I38"/>
    </sheetView>
  </sheetViews>
  <sheetFormatPr defaultColWidth="8.7109375" defaultRowHeight="14.25"/>
  <cols>
    <col min="1" max="1" width="0.85546875" style="193" customWidth="1"/>
    <col min="2" max="2" width="3.7109375" style="193" customWidth="1"/>
    <col min="3" max="3" width="3.7109375" style="192" customWidth="1"/>
    <col min="4" max="4" width="3.42578125" style="193" customWidth="1"/>
    <col min="5" max="5" width="12" style="193" customWidth="1"/>
    <col min="6" max="6" width="5.85546875" style="193" customWidth="1"/>
    <col min="7" max="7" width="10.42578125" style="193" customWidth="1"/>
    <col min="8" max="8" width="1.42578125" style="193" customWidth="1"/>
    <col min="9" max="9" width="10.42578125" style="193" customWidth="1"/>
    <col min="10" max="10" width="5.85546875" style="193" customWidth="1"/>
    <col min="11" max="11" width="10.42578125" style="193" customWidth="1"/>
    <col min="12" max="12" width="1.42578125" style="193" customWidth="1"/>
    <col min="13" max="13" width="10.42578125" style="193" customWidth="1"/>
    <col min="14" max="14" width="5.85546875" style="193" customWidth="1"/>
    <col min="15" max="15" width="10.42578125" style="193" customWidth="1"/>
    <col min="16" max="16" width="1.42578125" style="193" customWidth="1"/>
    <col min="17" max="17" width="10.42578125" style="193" customWidth="1"/>
    <col min="18" max="18" width="5.85546875" style="193" customWidth="1"/>
    <col min="19" max="19" width="10.42578125" style="193" customWidth="1"/>
    <col min="20" max="20" width="1.42578125" style="193" customWidth="1"/>
    <col min="21" max="21" width="10.42578125" style="193" customWidth="1"/>
    <col min="22" max="22" width="5.85546875" style="193" customWidth="1"/>
    <col min="23" max="24" width="9.42578125" style="193" customWidth="1"/>
    <col min="25" max="25" width="9.5703125" style="193" customWidth="1"/>
    <col min="26" max="26" width="9.28515625" style="193" customWidth="1"/>
    <col min="27" max="27" width="7.28515625" style="193" customWidth="1"/>
    <col min="28" max="31" width="9.42578125" style="193" customWidth="1"/>
    <col min="32" max="16384" width="8.7109375" style="193"/>
  </cols>
  <sheetData>
    <row r="1" spans="3:27" ht="7.5" customHeight="1"/>
    <row r="2" spans="3:27" ht="7.5" customHeight="1"/>
    <row r="5" spans="3:27" ht="11.25" customHeight="1"/>
    <row r="6" spans="3:27" ht="20.25">
      <c r="M6" s="300" t="s">
        <v>136</v>
      </c>
      <c r="N6" s="300"/>
      <c r="O6" s="300"/>
      <c r="P6" s="300"/>
    </row>
    <row r="7" spans="3:27" ht="18" customHeight="1">
      <c r="D7" s="194" t="s">
        <v>188</v>
      </c>
      <c r="E7" s="195"/>
      <c r="F7" s="195"/>
      <c r="G7" s="195"/>
      <c r="H7" s="195"/>
      <c r="I7" s="195"/>
      <c r="K7" s="196"/>
      <c r="L7" s="196"/>
      <c r="M7" s="324"/>
      <c r="N7" s="324"/>
      <c r="O7" s="324"/>
      <c r="P7" s="324"/>
      <c r="Q7" s="196"/>
      <c r="R7" s="196"/>
      <c r="S7" s="314" t="str">
        <f ca="1">Message</f>
        <v>Your Name, you have 
335 days to complete 115 chapters &amp; 337 hrs of lectures.
For this you must study for 1:40 hrs and 5:21 hrs respectively on weekdays &amp; weekends.</v>
      </c>
      <c r="T7" s="314"/>
      <c r="U7" s="314"/>
      <c r="V7" s="314"/>
    </row>
    <row r="8" spans="3:27" ht="18.600000000000001" customHeight="1">
      <c r="D8" s="197" t="s">
        <v>157</v>
      </c>
      <c r="E8" s="195"/>
      <c r="F8" s="195"/>
      <c r="G8" s="195"/>
      <c r="H8" s="195"/>
      <c r="I8" s="49">
        <v>2.5</v>
      </c>
      <c r="K8" s="196"/>
      <c r="L8" s="196"/>
      <c r="M8" s="196"/>
      <c r="N8" s="196"/>
      <c r="O8" s="196"/>
      <c r="P8" s="196"/>
      <c r="Q8" s="196"/>
      <c r="R8" s="196"/>
      <c r="S8" s="314"/>
      <c r="T8" s="314"/>
      <c r="U8" s="314"/>
      <c r="V8" s="314"/>
    </row>
    <row r="9" spans="3:27" ht="18.600000000000001" customHeight="1">
      <c r="D9" s="197" t="s">
        <v>158</v>
      </c>
      <c r="E9" s="195"/>
      <c r="F9" s="195"/>
      <c r="G9" s="195"/>
      <c r="H9" s="195"/>
      <c r="I9" s="49">
        <v>8</v>
      </c>
      <c r="K9" s="196"/>
      <c r="L9" s="196"/>
      <c r="M9" s="196"/>
      <c r="N9" s="196"/>
      <c r="O9" s="196"/>
      <c r="P9" s="196"/>
      <c r="Q9" s="196"/>
      <c r="R9" s="196"/>
      <c r="S9" s="314"/>
      <c r="T9" s="314"/>
      <c r="U9" s="314"/>
      <c r="V9" s="314"/>
    </row>
    <row r="10" spans="3:27" ht="18.600000000000001" customHeight="1">
      <c r="D10" s="197" t="s">
        <v>159</v>
      </c>
      <c r="E10" s="195"/>
      <c r="F10" s="195"/>
      <c r="G10" s="195"/>
      <c r="H10" s="195"/>
      <c r="I10" s="49">
        <v>5</v>
      </c>
      <c r="K10" s="196"/>
      <c r="L10" s="196"/>
      <c r="M10" s="196"/>
      <c r="O10" s="196"/>
      <c r="P10" s="196"/>
      <c r="Q10" s="196"/>
      <c r="R10" s="198"/>
      <c r="S10" s="314"/>
      <c r="T10" s="314"/>
      <c r="U10" s="314"/>
      <c r="V10" s="314"/>
    </row>
    <row r="11" spans="3:27" ht="18.600000000000001" customHeight="1">
      <c r="D11" s="197" t="s">
        <v>160</v>
      </c>
      <c r="E11" s="195"/>
      <c r="F11" s="195"/>
      <c r="G11" s="195"/>
      <c r="H11" s="195"/>
      <c r="I11" s="50">
        <v>21</v>
      </c>
      <c r="K11" s="196"/>
      <c r="L11" s="196"/>
      <c r="M11" s="196"/>
      <c r="O11" s="196"/>
      <c r="P11" s="196"/>
      <c r="Q11" s="196"/>
      <c r="R11" s="199"/>
      <c r="S11" s="314"/>
      <c r="T11" s="314"/>
      <c r="U11" s="314"/>
      <c r="V11" s="314"/>
    </row>
    <row r="12" spans="3:27" ht="18.600000000000001" customHeight="1">
      <c r="D12" s="197" t="s">
        <v>176</v>
      </c>
      <c r="E12" s="195"/>
      <c r="F12" s="195"/>
      <c r="G12" s="195"/>
      <c r="H12" s="195"/>
      <c r="I12" s="50">
        <v>5</v>
      </c>
      <c r="K12" s="196"/>
      <c r="L12" s="196"/>
      <c r="M12" s="196"/>
      <c r="O12" s="196"/>
      <c r="P12" s="196"/>
      <c r="Q12" s="196"/>
      <c r="S12" s="314"/>
      <c r="T12" s="314"/>
      <c r="U12" s="314"/>
      <c r="V12" s="314"/>
    </row>
    <row r="14" spans="3:27" s="200" customFormat="1" ht="18.75" customHeight="1">
      <c r="C14" s="192"/>
      <c r="G14" s="304"/>
      <c r="H14" s="304"/>
      <c r="I14" s="304"/>
      <c r="J14" s="201"/>
      <c r="K14" s="201"/>
      <c r="L14" s="201"/>
      <c r="M14" s="202"/>
      <c r="N14" s="203"/>
      <c r="O14" s="204"/>
      <c r="P14" s="205"/>
      <c r="Q14" s="206"/>
      <c r="R14" s="207"/>
    </row>
    <row r="15" spans="3:27" s="200" customFormat="1" ht="15" customHeight="1">
      <c r="C15" s="192"/>
      <c r="J15" s="208"/>
      <c r="K15" s="323"/>
      <c r="L15" s="323"/>
      <c r="M15" s="202"/>
      <c r="N15" s="203"/>
      <c r="O15" s="204"/>
      <c r="P15" s="205"/>
      <c r="Q15" s="206"/>
      <c r="R15" s="207"/>
      <c r="X15" s="209"/>
      <c r="Y15" s="209"/>
      <c r="Z15" s="209"/>
      <c r="AA15" s="193"/>
    </row>
    <row r="16" spans="3:27" s="200" customFormat="1" ht="15" customHeight="1">
      <c r="C16" s="210" t="s">
        <v>161</v>
      </c>
      <c r="D16" s="210"/>
      <c r="F16" s="210"/>
      <c r="J16" s="208"/>
      <c r="K16" s="201"/>
      <c r="L16" s="201"/>
      <c r="M16" s="202"/>
      <c r="N16" s="203"/>
      <c r="O16" s="204"/>
      <c r="P16" s="205"/>
      <c r="Q16" s="206"/>
      <c r="R16" s="207"/>
      <c r="X16" s="211"/>
      <c r="Y16" s="211"/>
      <c r="Z16" s="211"/>
    </row>
    <row r="17" spans="2:30" s="200" customFormat="1" ht="15" customHeight="1">
      <c r="C17" s="212"/>
      <c r="D17" s="213" t="s">
        <v>62</v>
      </c>
      <c r="F17" s="213"/>
      <c r="K17" s="201"/>
      <c r="L17" s="201"/>
      <c r="M17" s="202"/>
      <c r="N17" s="203"/>
      <c r="O17" s="204"/>
      <c r="P17" s="205"/>
      <c r="Q17" s="206"/>
      <c r="R17" s="207"/>
      <c r="X17" s="211"/>
      <c r="Y17" s="211"/>
      <c r="Z17" s="211"/>
    </row>
    <row r="18" spans="2:30" s="200" customFormat="1" ht="15" customHeight="1">
      <c r="C18" s="214"/>
      <c r="D18" s="213" t="s">
        <v>165</v>
      </c>
      <c r="F18" s="213"/>
      <c r="J18" s="201"/>
      <c r="K18" s="201"/>
      <c r="L18" s="201"/>
      <c r="M18" s="202"/>
      <c r="N18" s="203"/>
      <c r="O18" s="204"/>
      <c r="P18" s="205"/>
      <c r="Q18" s="206"/>
      <c r="R18" s="207"/>
      <c r="X18" s="211"/>
      <c r="Y18" s="211"/>
      <c r="Z18" s="211"/>
      <c r="AB18" s="301"/>
      <c r="AC18" s="301"/>
      <c r="AD18" s="208"/>
    </row>
    <row r="19" spans="2:30" s="200" customFormat="1" ht="15" customHeight="1">
      <c r="J19" s="201"/>
      <c r="K19" s="201"/>
      <c r="L19" s="201"/>
      <c r="M19" s="202"/>
      <c r="N19" s="203"/>
      <c r="O19" s="204"/>
      <c r="P19" s="205"/>
      <c r="Q19" s="206"/>
      <c r="R19" s="207"/>
      <c r="X19" s="211"/>
      <c r="Y19" s="211"/>
      <c r="Z19" s="211"/>
      <c r="AB19" s="193"/>
      <c r="AC19" s="213"/>
      <c r="AD19" s="208"/>
    </row>
    <row r="20" spans="2:30" s="200" customFormat="1" ht="15" customHeight="1">
      <c r="C20" s="216" t="s">
        <v>162</v>
      </c>
      <c r="D20" s="215"/>
      <c r="F20" s="215"/>
      <c r="J20" s="201"/>
      <c r="K20" s="201"/>
      <c r="L20" s="201"/>
      <c r="M20" s="202"/>
      <c r="N20" s="203"/>
      <c r="O20" s="204"/>
      <c r="P20" s="205"/>
      <c r="Q20" s="206"/>
      <c r="R20" s="207"/>
      <c r="X20" s="211"/>
      <c r="Y20" s="211"/>
      <c r="Z20" s="211"/>
      <c r="AB20" s="213"/>
    </row>
    <row r="21" spans="2:30" s="200" customFormat="1" ht="16.5">
      <c r="C21" s="217"/>
      <c r="D21" s="213" t="s">
        <v>61</v>
      </c>
      <c r="F21" s="213"/>
      <c r="G21" s="218"/>
      <c r="H21" s="218"/>
      <c r="I21" s="218"/>
      <c r="J21" s="201"/>
      <c r="K21" s="201"/>
      <c r="L21" s="201"/>
      <c r="M21" s="202"/>
      <c r="N21" s="219"/>
      <c r="O21" s="220"/>
      <c r="P21" s="220"/>
      <c r="Q21" s="220"/>
      <c r="R21" s="220"/>
      <c r="S21" s="221"/>
      <c r="T21" s="221"/>
      <c r="U21" s="221"/>
      <c r="V21" s="193"/>
      <c r="Y21" s="193"/>
      <c r="Z21" s="213"/>
      <c r="AA21" s="193"/>
      <c r="AB21" s="213"/>
    </row>
    <row r="22" spans="2:30" s="200" customFormat="1" ht="15" customHeight="1">
      <c r="C22" s="222"/>
      <c r="D22" s="213" t="s">
        <v>166</v>
      </c>
      <c r="F22" s="213"/>
      <c r="G22" s="218"/>
      <c r="H22" s="218"/>
      <c r="I22" s="218"/>
      <c r="J22" s="221"/>
      <c r="K22" s="221"/>
      <c r="L22" s="221"/>
      <c r="M22" s="202"/>
      <c r="N22" s="223"/>
      <c r="O22" s="224"/>
      <c r="P22" s="224"/>
      <c r="Q22" s="206"/>
      <c r="R22" s="224"/>
      <c r="S22" s="221"/>
      <c r="T22" s="221"/>
      <c r="U22" s="221"/>
      <c r="V22" s="193"/>
      <c r="AB22" s="193"/>
      <c r="AC22" s="193"/>
    </row>
    <row r="23" spans="2:30" s="200" customFormat="1" ht="15" customHeight="1">
      <c r="C23" s="192"/>
      <c r="D23" s="193"/>
      <c r="E23" s="193"/>
      <c r="F23" s="193"/>
      <c r="G23" s="221"/>
      <c r="H23" s="221"/>
      <c r="I23" s="221"/>
      <c r="J23" s="201"/>
      <c r="K23" s="201"/>
      <c r="L23" s="201"/>
      <c r="M23" s="202"/>
      <c r="N23" s="225"/>
      <c r="O23" s="205"/>
      <c r="P23" s="205"/>
      <c r="Q23" s="206"/>
      <c r="R23" s="205"/>
      <c r="S23" s="221"/>
      <c r="T23" s="221"/>
      <c r="U23" s="221"/>
      <c r="V23" s="193"/>
      <c r="AB23" s="193"/>
      <c r="AC23" s="193"/>
    </row>
    <row r="24" spans="2:30" s="200" customFormat="1" ht="15" customHeight="1">
      <c r="C24" s="192"/>
      <c r="D24" s="193"/>
      <c r="E24" s="193"/>
      <c r="F24" s="193"/>
      <c r="G24" s="221"/>
      <c r="H24" s="221"/>
      <c r="I24" s="221"/>
      <c r="J24" s="201"/>
      <c r="K24" s="201"/>
      <c r="L24" s="201"/>
      <c r="M24" s="202"/>
      <c r="N24" s="225"/>
      <c r="O24" s="205"/>
      <c r="P24" s="205"/>
      <c r="Q24" s="206"/>
      <c r="R24" s="205"/>
      <c r="S24" s="221"/>
      <c r="T24" s="221"/>
      <c r="U24" s="221"/>
      <c r="V24" s="193"/>
      <c r="AB24" s="193"/>
      <c r="AC24" s="193"/>
    </row>
    <row r="25" spans="2:30" s="200" customFormat="1" ht="15" customHeight="1">
      <c r="C25" s="192"/>
      <c r="D25" s="193"/>
      <c r="E25" s="193"/>
      <c r="F25" s="193"/>
      <c r="G25" s="221"/>
      <c r="H25" s="221"/>
      <c r="I25" s="221"/>
      <c r="J25" s="201"/>
      <c r="K25" s="201"/>
      <c r="L25" s="201"/>
      <c r="M25" s="202"/>
      <c r="N25" s="225"/>
      <c r="O25" s="205"/>
      <c r="P25" s="205"/>
      <c r="Q25" s="206"/>
      <c r="R25" s="205"/>
      <c r="S25" s="221"/>
      <c r="T25" s="221"/>
      <c r="U25" s="221"/>
      <c r="V25" s="193"/>
      <c r="AB25" s="193"/>
      <c r="AC25" s="193"/>
    </row>
    <row r="26" spans="2:30" s="41" customFormat="1" ht="15" customHeight="1" thickBot="1">
      <c r="C26" s="231"/>
      <c r="D26" s="40"/>
      <c r="E26" s="40"/>
      <c r="F26" s="40"/>
      <c r="G26" s="310" t="s">
        <v>177</v>
      </c>
      <c r="H26" s="310"/>
      <c r="I26" s="310"/>
      <c r="J26" s="232"/>
      <c r="K26" s="310" t="s">
        <v>178</v>
      </c>
      <c r="L26" s="310"/>
      <c r="M26" s="310"/>
      <c r="N26" s="233"/>
      <c r="O26" s="310" t="s">
        <v>179</v>
      </c>
      <c r="P26" s="310"/>
      <c r="Q26" s="310"/>
      <c r="R26" s="234"/>
      <c r="S26" s="310" t="s">
        <v>181</v>
      </c>
      <c r="T26" s="310"/>
      <c r="U26" s="310"/>
      <c r="V26" s="40"/>
      <c r="AB26" s="40"/>
      <c r="AC26" s="40"/>
    </row>
    <row r="27" spans="2:30" s="41" customFormat="1" ht="7.5" customHeight="1" thickTop="1" thickBot="1">
      <c r="C27" s="231"/>
      <c r="D27" s="40"/>
      <c r="E27" s="40"/>
      <c r="F27" s="40"/>
      <c r="G27" s="235"/>
      <c r="H27" s="236"/>
      <c r="I27" s="237"/>
      <c r="J27" s="40"/>
      <c r="K27" s="237"/>
      <c r="L27" s="238"/>
      <c r="M27" s="237"/>
      <c r="N27" s="239"/>
      <c r="O27" s="237"/>
      <c r="P27" s="239"/>
      <c r="Q27" s="237"/>
      <c r="R27" s="239"/>
      <c r="S27" s="237"/>
      <c r="T27" s="239"/>
      <c r="U27" s="237"/>
      <c r="V27" s="40"/>
      <c r="W27" s="240"/>
      <c r="X27" s="240"/>
      <c r="Y27" s="40"/>
      <c r="Z27" s="40"/>
      <c r="AA27" s="40"/>
      <c r="AB27" s="40"/>
      <c r="AC27" s="40"/>
    </row>
    <row r="28" spans="2:30" s="241" customFormat="1" ht="12.75" thickTop="1" thickBot="1">
      <c r="D28" s="242"/>
      <c r="E28" s="242"/>
      <c r="F28" s="242"/>
      <c r="G28" s="243" t="s">
        <v>172</v>
      </c>
      <c r="H28" s="244"/>
      <c r="I28" s="243" t="s">
        <v>173</v>
      </c>
      <c r="J28" s="242"/>
      <c r="K28" s="243" t="s">
        <v>172</v>
      </c>
      <c r="L28" s="242"/>
      <c r="M28" s="243" t="s">
        <v>173</v>
      </c>
      <c r="N28" s="245"/>
      <c r="O28" s="243" t="s">
        <v>172</v>
      </c>
      <c r="P28" s="246"/>
      <c r="Q28" s="243" t="s">
        <v>173</v>
      </c>
      <c r="R28" s="246"/>
      <c r="S28" s="243" t="s">
        <v>172</v>
      </c>
      <c r="T28" s="242"/>
      <c r="U28" s="243" t="s">
        <v>173</v>
      </c>
      <c r="V28" s="242"/>
      <c r="AB28" s="242"/>
      <c r="AC28" s="242"/>
    </row>
    <row r="29" spans="2:30" s="41" customFormat="1" ht="21.75" customHeight="1" thickTop="1">
      <c r="B29" s="315" t="s">
        <v>175</v>
      </c>
      <c r="C29" s="316"/>
      <c r="D29" s="305" t="s">
        <v>62</v>
      </c>
      <c r="E29" s="305"/>
      <c r="F29" s="247"/>
      <c r="G29" s="248">
        <f ca="1">Working!D24</f>
        <v>0</v>
      </c>
      <c r="H29" s="249"/>
      <c r="I29" s="250">
        <f ca="1">Working!D29</f>
        <v>0</v>
      </c>
      <c r="J29" s="251"/>
      <c r="K29" s="252">
        <f ca="1">Working!D26</f>
        <v>0</v>
      </c>
      <c r="L29" s="253"/>
      <c r="M29" s="252">
        <f ca="1">Working!D31</f>
        <v>0</v>
      </c>
      <c r="N29" s="254"/>
      <c r="O29" s="252">
        <f ca="1">Working!D27</f>
        <v>0</v>
      </c>
      <c r="P29" s="255"/>
      <c r="Q29" s="252">
        <f ca="1">Working!D32</f>
        <v>0</v>
      </c>
      <c r="R29" s="255"/>
      <c r="S29" s="256">
        <f ca="1">O29+K29</f>
        <v>0</v>
      </c>
      <c r="T29" s="249"/>
      <c r="U29" s="256">
        <f ca="1">Q29+M29</f>
        <v>0</v>
      </c>
      <c r="V29" s="40"/>
      <c r="AB29" s="40"/>
      <c r="AC29" s="40"/>
    </row>
    <row r="30" spans="2:30" s="41" customFormat="1" ht="21.75" customHeight="1" thickBot="1">
      <c r="B30" s="317"/>
      <c r="C30" s="318"/>
      <c r="D30" s="306" t="s">
        <v>61</v>
      </c>
      <c r="E30" s="307"/>
      <c r="F30" s="247"/>
      <c r="G30" s="257">
        <f ca="1">Working!C24</f>
        <v>1.2346625766871167</v>
      </c>
      <c r="H30" s="249"/>
      <c r="I30" s="258">
        <f ca="1">Working!C29</f>
        <v>0.17638036809815952</v>
      </c>
      <c r="J30" s="251"/>
      <c r="K30" s="259">
        <f ca="1">Working!C26</f>
        <v>0.15097030504430803</v>
      </c>
      <c r="L30" s="260"/>
      <c r="M30" s="259">
        <f ca="1">Working!C31</f>
        <v>2.1567186434901145E-2</v>
      </c>
      <c r="N30" s="261"/>
      <c r="O30" s="259">
        <f ca="1">Working!C27</f>
        <v>0.25722137014314933</v>
      </c>
      <c r="P30" s="262"/>
      <c r="Q30" s="259">
        <f ca="1">Working!C32</f>
        <v>3.6745910020449898E-2</v>
      </c>
      <c r="R30" s="262"/>
      <c r="S30" s="259">
        <f ca="1">O30+K30</f>
        <v>0.40819167518745736</v>
      </c>
      <c r="T30" s="249"/>
      <c r="U30" s="259">
        <f ca="1">Q30+M30</f>
        <v>5.8313096455351043E-2</v>
      </c>
      <c r="V30" s="40"/>
      <c r="AB30" s="40"/>
      <c r="AC30" s="40"/>
    </row>
    <row r="31" spans="2:30" s="40" customFormat="1" ht="15.6" customHeight="1" thickTop="1" thickBot="1">
      <c r="B31" s="319"/>
      <c r="C31" s="320"/>
      <c r="D31" s="308" t="s">
        <v>82</v>
      </c>
      <c r="E31" s="308"/>
      <c r="F31" s="247"/>
      <c r="G31" s="311">
        <f ca="1">Working!E24</f>
        <v>-1</v>
      </c>
      <c r="H31" s="312"/>
      <c r="I31" s="313"/>
      <c r="J31" s="263"/>
      <c r="K31" s="311">
        <f ca="1">Working!E26</f>
        <v>-1</v>
      </c>
      <c r="L31" s="312"/>
      <c r="M31" s="313"/>
      <c r="N31" s="264"/>
      <c r="O31" s="311">
        <f ca="1">Working!E27</f>
        <v>-1</v>
      </c>
      <c r="P31" s="312"/>
      <c r="Q31" s="313"/>
      <c r="R31" s="234"/>
      <c r="S31" s="311">
        <f ca="1">Working!E25</f>
        <v>-1</v>
      </c>
      <c r="T31" s="312"/>
      <c r="U31" s="313"/>
    </row>
    <row r="32" spans="2:30" s="40" customFormat="1" ht="15" customHeight="1" thickTop="1" thickBot="1">
      <c r="B32" s="321" t="s">
        <v>174</v>
      </c>
      <c r="C32" s="322"/>
      <c r="D32" s="309" t="s">
        <v>65</v>
      </c>
      <c r="E32" s="309"/>
      <c r="F32" s="247"/>
      <c r="G32" s="265">
        <f ca="1">Working!F24</f>
        <v>2.4029850746268657</v>
      </c>
      <c r="H32" s="266"/>
      <c r="I32" s="265">
        <f ca="1">Working!F29</f>
        <v>0.34328358208955223</v>
      </c>
      <c r="J32" s="249"/>
      <c r="K32" s="267">
        <f ca="1">Working!F26</f>
        <v>0.29382877280265324</v>
      </c>
      <c r="L32" s="260"/>
      <c r="M32" s="267">
        <f ca="1">Working!F31</f>
        <v>4.1975538971807599E-2</v>
      </c>
      <c r="N32" s="268"/>
      <c r="O32" s="267">
        <f ca="1">Working!F27</f>
        <v>0.5006218905472638</v>
      </c>
      <c r="P32" s="269"/>
      <c r="Q32" s="267">
        <f ca="1">Working!F32</f>
        <v>7.1517412935323391E-2</v>
      </c>
      <c r="R32" s="269"/>
      <c r="S32" s="267">
        <f ca="1">O32+K32</f>
        <v>0.7944506633499171</v>
      </c>
      <c r="T32" s="249"/>
      <c r="U32" s="267">
        <f ca="1">Q32+M32</f>
        <v>0.11349295190713099</v>
      </c>
    </row>
    <row r="33" spans="2:21" s="40" customFormat="1" ht="15" customHeight="1" thickTop="1" thickBot="1">
      <c r="B33" s="321"/>
      <c r="C33" s="322"/>
      <c r="D33" s="302" t="s">
        <v>127</v>
      </c>
      <c r="E33" s="303"/>
      <c r="F33" s="247"/>
      <c r="G33" s="311" t="str">
        <f ca="1">Working!G24</f>
        <v>+100%</v>
      </c>
      <c r="H33" s="312"/>
      <c r="I33" s="313"/>
      <c r="K33" s="311" t="str">
        <f ca="1">Working!G26</f>
        <v>+100%</v>
      </c>
      <c r="L33" s="312"/>
      <c r="M33" s="313"/>
      <c r="N33" s="264"/>
      <c r="O33" s="311" t="str">
        <f ca="1">Working!G27</f>
        <v>+100%</v>
      </c>
      <c r="P33" s="312"/>
      <c r="Q33" s="313"/>
      <c r="R33" s="234"/>
      <c r="S33" s="311" t="str">
        <f ca="1">Working!G25</f>
        <v>+100%</v>
      </c>
      <c r="T33" s="312"/>
      <c r="U33" s="313"/>
    </row>
    <row r="34" spans="2:21" ht="15" thickTop="1">
      <c r="D34" s="226"/>
      <c r="E34" s="226"/>
      <c r="F34" s="226"/>
      <c r="G34" s="226"/>
      <c r="H34" s="226"/>
      <c r="I34" s="226"/>
      <c r="N34" s="227"/>
      <c r="O34" s="205"/>
      <c r="P34" s="205"/>
      <c r="Q34" s="206"/>
      <c r="R34" s="205"/>
    </row>
    <row r="35" spans="2:21">
      <c r="B35" s="193" t="s">
        <v>225</v>
      </c>
      <c r="D35" s="226"/>
      <c r="E35" s="226"/>
      <c r="F35" s="226"/>
      <c r="G35" s="226"/>
      <c r="H35" s="226"/>
      <c r="I35" s="226"/>
      <c r="N35" s="227"/>
      <c r="O35" s="205"/>
      <c r="P35" s="205"/>
      <c r="Q35" s="206"/>
      <c r="R35" s="205"/>
    </row>
    <row r="36" spans="2:21" ht="15" customHeight="1">
      <c r="J36" s="228"/>
      <c r="K36" s="226"/>
      <c r="N36" s="227"/>
      <c r="O36" s="205"/>
      <c r="P36" s="205"/>
      <c r="Q36" s="206"/>
      <c r="R36" s="205"/>
    </row>
    <row r="37" spans="2:21" ht="15" customHeight="1"/>
    <row r="38" spans="2:21" ht="15" customHeight="1"/>
    <row r="39" spans="2:21" ht="15" customHeight="1">
      <c r="O39" s="229"/>
      <c r="Q39" s="230"/>
    </row>
    <row r="40" spans="2:21" ht="15" customHeight="1"/>
    <row r="45" spans="2:21" ht="15" customHeight="1"/>
  </sheetData>
  <sheetProtection algorithmName="SHA-512" hashValue="UaIWUAdys8q1BH7O79AnPKPCCevZLd5y4sOfHQRGD14OiWwV/I1aV3cXGO+otZYGoJUNnrj/piecmD9iocISkw==" saltValue="e+mzaLnyZ8xoZwbGn8Z/tg==" spinCount="100000" sheet="1" selectLockedCells="1" autoFilter="0" pivotTables="0"/>
  <mergeCells count="25">
    <mergeCell ref="O33:Q33"/>
    <mergeCell ref="S7:V12"/>
    <mergeCell ref="B29:C31"/>
    <mergeCell ref="B32:C33"/>
    <mergeCell ref="K15:L15"/>
    <mergeCell ref="G31:I31"/>
    <mergeCell ref="M7:P7"/>
    <mergeCell ref="S31:U31"/>
    <mergeCell ref="S33:U33"/>
    <mergeCell ref="M6:P6"/>
    <mergeCell ref="AB18:AC18"/>
    <mergeCell ref="D33:E33"/>
    <mergeCell ref="G14:I14"/>
    <mergeCell ref="D29:E29"/>
    <mergeCell ref="D30:E30"/>
    <mergeCell ref="D31:E31"/>
    <mergeCell ref="D32:E32"/>
    <mergeCell ref="G26:I26"/>
    <mergeCell ref="K26:M26"/>
    <mergeCell ref="O26:Q26"/>
    <mergeCell ref="S26:U26"/>
    <mergeCell ref="G33:I33"/>
    <mergeCell ref="K31:M31"/>
    <mergeCell ref="K33:M33"/>
    <mergeCell ref="O31:Q31"/>
  </mergeCells>
  <conditionalFormatting sqref="G31">
    <cfRule type="cellIs" dxfId="19" priority="21" operator="greaterThanOrEqual">
      <formula>0.0001</formula>
    </cfRule>
    <cfRule type="cellIs" dxfId="18" priority="22" operator="lessThan">
      <formula>0</formula>
    </cfRule>
  </conditionalFormatting>
  <conditionalFormatting sqref="G33">
    <cfRule type="cellIs" dxfId="17" priority="7" operator="lessThan">
      <formula>0</formula>
    </cfRule>
    <cfRule type="cellIs" dxfId="16" priority="8" operator="greaterThanOrEqual">
      <formula>0.00001</formula>
    </cfRule>
  </conditionalFormatting>
  <conditionalFormatting sqref="K31">
    <cfRule type="cellIs" dxfId="15" priority="13" operator="greaterThanOrEqual">
      <formula>0.0001</formula>
    </cfRule>
    <cfRule type="cellIs" dxfId="14" priority="14" operator="lessThan">
      <formula>0</formula>
    </cfRule>
  </conditionalFormatting>
  <conditionalFormatting sqref="K33">
    <cfRule type="cellIs" dxfId="13" priority="5" operator="lessThan">
      <formula>0</formula>
    </cfRule>
    <cfRule type="cellIs" dxfId="12" priority="6" operator="greaterThanOrEqual">
      <formula>0.00001</formula>
    </cfRule>
  </conditionalFormatting>
  <conditionalFormatting sqref="O31">
    <cfRule type="cellIs" dxfId="11" priority="11" operator="greaterThanOrEqual">
      <formula>0.0001</formula>
    </cfRule>
    <cfRule type="cellIs" dxfId="10" priority="12" operator="lessThan">
      <formula>0</formula>
    </cfRule>
  </conditionalFormatting>
  <conditionalFormatting sqref="O33">
    <cfRule type="cellIs" dxfId="9" priority="3" operator="lessThan">
      <formula>0</formula>
    </cfRule>
    <cfRule type="cellIs" dxfId="8" priority="4" operator="greaterThanOrEqual">
      <formula>0.00001</formula>
    </cfRule>
  </conditionalFormatting>
  <conditionalFormatting sqref="S31">
    <cfRule type="cellIs" dxfId="7" priority="9" operator="greaterThanOrEqual">
      <formula>0.0001</formula>
    </cfRule>
    <cfRule type="cellIs" dxfId="6" priority="10" operator="lessThan">
      <formula>0</formula>
    </cfRule>
  </conditionalFormatting>
  <conditionalFormatting sqref="S33">
    <cfRule type="cellIs" dxfId="5" priority="1" operator="lessThan">
      <formula>0</formula>
    </cfRule>
    <cfRule type="cellIs" dxfId="4" priority="2" operator="greaterThanOrEqual">
      <formula>0.00001</formula>
    </cfRule>
  </conditionalFormatting>
  <dataValidations count="2">
    <dataValidation type="whole" operator="greaterThan" allowBlank="1" showInputMessage="1" showErrorMessage="1" errorTitle="Incorrect Input" error="Please enter the no. of days as a numerical value only" promptTitle="No. of days" prompt="Advisable to keep a at least 21 days for revision. You may choose a lower number of days. You shall need to cover the mocks in the same time frame." sqref="I11:I12" xr:uid="{BEADF95C-0856-4486-93F3-A6CCE19C1CDE}">
      <formula1>0</formula1>
    </dataValidation>
    <dataValidation type="decimal" operator="greaterThan" allowBlank="1" showInputMessage="1" showErrorMessage="1" errorTitle="Inccorect Input" error="Please enter the No. of hours as a numerical value only" sqref="I8:I10" xr:uid="{5AB053D5-4296-4D78-8FDF-F56DFF018DB2}">
      <formula1>0</formula1>
    </dataValidation>
  </dataValidations>
  <pageMargins left="0.23622047244094491" right="0.23622047244094491" top="0.74803149606299213" bottom="0.74803149606299213" header="0.31496062992125984" footer="0.31496062992125984"/>
  <pageSetup paperSize="9" scale="65" orientation="portrait" r:id="rId1"/>
  <ignoredErrors>
    <ignoredError sqref="S31" formula="1"/>
  </ignoredErrors>
  <drawing r:id="rId2"/>
  <legacyDrawing r:id="rId3"/>
  <extLst>
    <ext xmlns:x14="http://schemas.microsoft.com/office/spreadsheetml/2009/9/main" uri="{A8765BA9-456A-4dab-B4F3-ACF838C121DE}">
      <x14:slicerList>
        <x14:slicer r:id="rId4"/>
      </x14:slicerList>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12962-0C4F-4E76-AA66-433D4414EB8C}">
  <sheetPr codeName="Sheet5"/>
  <dimension ref="B2:N100"/>
  <sheetViews>
    <sheetView showGridLines="0" showZeros="0" zoomScale="70" zoomScaleNormal="70" workbookViewId="0">
      <selection activeCell="D82" sqref="D82"/>
    </sheetView>
  </sheetViews>
  <sheetFormatPr defaultColWidth="8.7109375" defaultRowHeight="14.25"/>
  <cols>
    <col min="1" max="1" width="8.7109375" style="87"/>
    <col min="2" max="2" width="17.85546875" style="87" bestFit="1" customWidth="1"/>
    <col min="3" max="3" width="28.28515625" style="87" bestFit="1" customWidth="1"/>
    <col min="4" max="4" width="16.140625" style="87" bestFit="1" customWidth="1"/>
    <col min="5" max="5" width="22.42578125" style="87" customWidth="1"/>
    <col min="6" max="6" width="9.5703125" style="87" customWidth="1"/>
    <col min="7" max="7" width="15.85546875" style="87" customWidth="1"/>
    <col min="8" max="8" width="10.28515625" style="87" customWidth="1"/>
    <col min="9" max="9" width="8.7109375" style="87"/>
    <col min="10" max="10" width="15.5703125" style="87" bestFit="1" customWidth="1"/>
    <col min="11" max="11" width="24.85546875" style="110" bestFit="1" customWidth="1"/>
    <col min="12" max="13" width="9.140625" style="110"/>
    <col min="14" max="14" width="26.7109375" style="87" bestFit="1" customWidth="1"/>
    <col min="15" max="16384" width="8.7109375" style="87"/>
  </cols>
  <sheetData>
    <row r="2" spans="2:14">
      <c r="B2" s="86" t="s">
        <v>151</v>
      </c>
      <c r="C2" s="86"/>
      <c r="E2" s="88" t="s">
        <v>71</v>
      </c>
      <c r="F2" s="88" t="s">
        <v>73</v>
      </c>
      <c r="G2" s="88" t="s">
        <v>76</v>
      </c>
      <c r="H2" s="88" t="s">
        <v>75</v>
      </c>
      <c r="I2" s="88" t="s">
        <v>72</v>
      </c>
      <c r="J2" s="88" t="s">
        <v>74</v>
      </c>
      <c r="K2" s="89" t="s">
        <v>70</v>
      </c>
      <c r="L2" s="87"/>
      <c r="M2" s="87"/>
    </row>
    <row r="3" spans="2:14" ht="15.75">
      <c r="B3" s="90" t="s">
        <v>80</v>
      </c>
      <c r="C3" s="15">
        <f>'⏱ Input'!T4</f>
        <v>14.061805555555546</v>
      </c>
      <c r="D3" s="91"/>
      <c r="E3" s="92">
        <f>'📝 Instructions'!F8</f>
        <v>45302</v>
      </c>
      <c r="F3" s="93">
        <v>1</v>
      </c>
      <c r="G3" s="93">
        <f>Table134[[#This Row],[Diff %]]</f>
        <v>0</v>
      </c>
      <c r="H3" s="94">
        <v>0</v>
      </c>
      <c r="I3" s="95">
        <f>Table134[[#This Row],[Difference]]/$F$7</f>
        <v>1.4749262536873156E-3</v>
      </c>
      <c r="J3" s="95"/>
      <c r="K3" s="96" t="str">
        <f>"Start "&amp;CHAR(10)&amp;TEXT(Table134[[#This Row],[YEAR]],"dd-mmm-yy")</f>
        <v>Start 
11-Jan-24</v>
      </c>
      <c r="L3" s="87"/>
      <c r="M3" s="87"/>
    </row>
    <row r="4" spans="2:14" ht="15.75">
      <c r="B4" s="90" t="s">
        <v>153</v>
      </c>
      <c r="C4" s="15">
        <f>('📊 Summary'!I10*'⏱ Input'!V4)/24</f>
        <v>23.958333333333332</v>
      </c>
      <c r="D4" s="91"/>
      <c r="E4" s="92">
        <f ca="1">TODAY()</f>
        <v>45619</v>
      </c>
      <c r="F4" s="93">
        <f ca="1">Table134[[#This Row],[YEAR]]-$E$3</f>
        <v>317</v>
      </c>
      <c r="G4" s="93">
        <f ca="1">Table134[[#This Row],[Diff %]]</f>
        <v>0.46607669616519171</v>
      </c>
      <c r="H4" s="94">
        <f ca="1">Table134[[#This Row],[%]]-I3</f>
        <v>0.46607669616519171</v>
      </c>
      <c r="I4" s="95">
        <f ca="1">Table134[[#This Row],[Difference]]/$F$7</f>
        <v>0.46755162241887904</v>
      </c>
      <c r="J4" s="97" t="str">
        <f ca="1">Table134[[#This Row],[YEAR]]-E3&amp;" days over"</f>
        <v>317 days over</v>
      </c>
      <c r="K4" s="96" t="str">
        <f ca="1">"Today "&amp;TEXT(Table134[[#This Row],[YEAR]],"dd-mmm-yy")</f>
        <v>Today 23-Nov-24</v>
      </c>
      <c r="L4" s="87"/>
      <c r="M4" s="87"/>
    </row>
    <row r="5" spans="2:14" ht="15.75">
      <c r="B5" s="84" t="s">
        <v>81</v>
      </c>
      <c r="C5" s="15">
        <f>SUM(C3:C4)</f>
        <v>38.02013888888888</v>
      </c>
      <c r="D5" s="91"/>
      <c r="E5" s="92">
        <f>E6-'📊 Summary'!I12</f>
        <v>45954</v>
      </c>
      <c r="F5" s="93">
        <f>Table134[[#This Row],[YEAR]]-$E$3</f>
        <v>652</v>
      </c>
      <c r="G5" s="93">
        <f ca="1">Table134[[#This Row],[Diff %]]</f>
        <v>0.49410029498525077</v>
      </c>
      <c r="H5" s="94">
        <f ca="1">Table134[[#This Row],[%]]-I4</f>
        <v>0.49410029498525077</v>
      </c>
      <c r="I5" s="95">
        <f>Table134[[#This Row],[Difference]]/$F$7</f>
        <v>0.96165191740412981</v>
      </c>
      <c r="J5" s="97" t="str">
        <f ca="1">IF(E4&gt;Table134[[#This Row],[YEAR]],Table134[[#This Row],[YEAR]]-E3,Table134[[#This Row],[YEAR]]-E4)&amp;" study days left"</f>
        <v>335 study days left</v>
      </c>
      <c r="K5" s="96" t="str">
        <f>"Lecture Completed "&amp;TEXT(Table134[[#This Row],[YEAR]],"dd-mmm-yy")</f>
        <v>Lecture Completed 24-Oct-25</v>
      </c>
      <c r="L5" s="87"/>
      <c r="M5" s="87"/>
    </row>
    <row r="6" spans="2:14" ht="15.75">
      <c r="B6" s="84" t="s">
        <v>152</v>
      </c>
      <c r="C6" s="126">
        <f>C5/(((('📊 Summary'!I8*5)+('📊 Summary'!I9*2))/24)/7)</f>
        <v>224.11871345029235</v>
      </c>
      <c r="D6" s="98"/>
      <c r="E6" s="92">
        <f>E7-'📊 Summary'!I11</f>
        <v>45959</v>
      </c>
      <c r="F6" s="93">
        <f>Table134[[#This Row],[YEAR]]-$E$3</f>
        <v>657</v>
      </c>
      <c r="G6" s="93">
        <f>Table134[[#This Row],[Diff %]]</f>
        <v>7.3746312684365156E-3</v>
      </c>
      <c r="H6" s="94">
        <f>Table134[[#This Row],[%]]-I5</f>
        <v>7.3746312684365156E-3</v>
      </c>
      <c r="I6" s="95">
        <f>Table134[[#This Row],[Difference]]/$F$7</f>
        <v>0.96902654867256632</v>
      </c>
      <c r="J6" s="97" t="str">
        <f>Table134[[#This Row],[YEAR]]-E5&amp;"  buffer days"</f>
        <v>5  buffer days</v>
      </c>
      <c r="K6" s="96" t="str">
        <f>"Start Revision "&amp;TEXT(Table134[[#This Row],[YEAR]],"dd-mmm-yy")</f>
        <v>Start Revision 29-Oct-25</v>
      </c>
      <c r="L6" s="87"/>
      <c r="M6" s="87"/>
    </row>
    <row r="7" spans="2:14">
      <c r="E7" s="92">
        <f>'📝 Instructions'!F9</f>
        <v>45980</v>
      </c>
      <c r="F7" s="93">
        <f>Table134[[#This Row],[YEAR]]-$E$3</f>
        <v>678</v>
      </c>
      <c r="G7" s="93">
        <f>Table134[[#This Row],[Diff %]]</f>
        <v>3.0973451327433676E-2</v>
      </c>
      <c r="H7" s="94">
        <f>Table134[[#This Row],[%]]-I6</f>
        <v>3.0973451327433676E-2</v>
      </c>
      <c r="I7" s="95">
        <f>Table134[[#This Row],[Difference]]/$F$7</f>
        <v>1</v>
      </c>
      <c r="J7" s="97" t="str">
        <f>Table134[[#This Row],[YEAR]]-E6&amp;" revision days"</f>
        <v>21 revision days</v>
      </c>
      <c r="K7" s="96" t="str">
        <f>"Exam "&amp;TEXT(Table134[[#This Row],[YEAR]],"dd-mmm-yy")</f>
        <v>Exam 19-Nov-25</v>
      </c>
      <c r="L7" s="87"/>
      <c r="M7" s="87"/>
    </row>
    <row r="8" spans="2:14" ht="15.75">
      <c r="B8" s="87" t="s">
        <v>155</v>
      </c>
      <c r="C8" s="15">
        <f ca="1">('⏱ Input'!T4-'⏱ Input'!T5)/F17</f>
        <v>0.29382877280265324</v>
      </c>
      <c r="E8" s="99"/>
      <c r="F8" s="100"/>
      <c r="G8" s="100"/>
      <c r="H8" s="101">
        <f ca="1">SUBTOTAL(109,Table134[Diff %])</f>
        <v>0.99852507374631272</v>
      </c>
      <c r="I8" s="102"/>
      <c r="J8" s="103"/>
      <c r="K8" s="104"/>
      <c r="L8" s="87"/>
      <c r="M8" s="87"/>
    </row>
    <row r="9" spans="2:14" ht="18.75">
      <c r="C9" s="105"/>
      <c r="E9" s="106"/>
      <c r="F9" s="107"/>
      <c r="G9" s="107"/>
      <c r="H9" s="108"/>
      <c r="I9" s="109"/>
      <c r="J9" s="110"/>
      <c r="K9" s="87"/>
      <c r="L9" s="87"/>
      <c r="M9" s="87"/>
    </row>
    <row r="10" spans="2:14" ht="31.5">
      <c r="B10" s="82" t="s">
        <v>60</v>
      </c>
      <c r="C10" s="83">
        <f ca="1">'📝 Instructions'!F9-TODAY()</f>
        <v>361</v>
      </c>
      <c r="E10" s="106"/>
      <c r="F10" s="107"/>
      <c r="G10" s="107"/>
      <c r="H10" s="108"/>
      <c r="I10" s="109"/>
      <c r="J10" s="110"/>
      <c r="K10" s="87"/>
      <c r="L10" s="87"/>
      <c r="M10" s="87"/>
    </row>
    <row r="11" spans="2:14" ht="15.75">
      <c r="B11" s="84" t="s">
        <v>77</v>
      </c>
      <c r="C11" s="83">
        <f ca="1">IF(C10&lt;SUM('📊 Summary'!I11:I12),0,C10-'📊 Summary'!I11-'📊 Summary'!I12)</f>
        <v>335</v>
      </c>
      <c r="E11" s="106"/>
      <c r="F11" s="107"/>
      <c r="G11" s="107"/>
      <c r="H11" s="108"/>
      <c r="I11" s="109"/>
      <c r="J11" s="110"/>
      <c r="K11" s="87"/>
      <c r="L11" s="87"/>
      <c r="M11" s="87"/>
    </row>
    <row r="12" spans="2:14" ht="15.75">
      <c r="B12" s="84" t="s">
        <v>67</v>
      </c>
      <c r="C12" s="85">
        <f>((('📊 Summary'!I8*5)+('📊 Summary'!I9*2))/7)*F21</f>
        <v>57.25163690476186</v>
      </c>
      <c r="E12" s="106"/>
      <c r="F12" s="107"/>
      <c r="G12" s="107"/>
      <c r="H12" s="108"/>
      <c r="I12" s="109"/>
      <c r="J12" s="110"/>
      <c r="K12" s="87"/>
      <c r="L12" s="87"/>
      <c r="M12" s="87"/>
    </row>
    <row r="14" spans="2:14" ht="15.75">
      <c r="B14" s="325"/>
      <c r="C14" s="326" t="s">
        <v>66</v>
      </c>
      <c r="D14" s="326"/>
      <c r="E14" s="326"/>
      <c r="F14" s="111" t="s">
        <v>64</v>
      </c>
      <c r="G14" s="112"/>
    </row>
    <row r="15" spans="2:14" ht="31.5">
      <c r="B15" s="325"/>
      <c r="C15" s="112" t="s">
        <v>61</v>
      </c>
      <c r="D15" s="112" t="s">
        <v>62</v>
      </c>
      <c r="E15" s="112" t="s">
        <v>82</v>
      </c>
      <c r="F15" s="112" t="s">
        <v>65</v>
      </c>
      <c r="G15" s="112" t="s">
        <v>127</v>
      </c>
      <c r="K15" s="87"/>
      <c r="N15" s="110"/>
    </row>
    <row r="16" spans="2:14" ht="31.5">
      <c r="B16" s="113" t="s">
        <v>69</v>
      </c>
      <c r="C16" s="114">
        <f ca="1">('⏱ Input'!V4/('📝 Instructions'!F9-'📝 Instructions'!F8-'📊 Summary'!I11-'📊 Summary'!I12))*(TODAY()-'📝 Instructions'!F8)</f>
        <v>55.912576687116569</v>
      </c>
      <c r="D16" s="114">
        <f>SUMIFS(Master_Data[No. of Chapters],Master_Data[Lectures],"D",Master_Data[Self Study],"D")</f>
        <v>0</v>
      </c>
      <c r="E16" s="21">
        <f ca="1">IF((D16-C16)/C16&gt;0,"+"&amp;ROUND(((D16-C16)/C16)*100,0)&amp;"%",ROUND(((D16-C16)/C16),2))</f>
        <v>-1</v>
      </c>
      <c r="F16" s="114">
        <f>SUMIFS(Master_Data[No. of Chapters],Master_Data[Lectures],"u",Master_Data[Self Study],"u")</f>
        <v>115</v>
      </c>
      <c r="G16" s="20" t="str">
        <f>IFERROR(IF((F16-D16)/F16&gt;0,"+"&amp;ROUND(((F16-D16)/F16)*100,0)&amp;"%",ROUND(((F16-D16)/F16),2)),"-")</f>
        <v>+100%</v>
      </c>
      <c r="H16" s="133"/>
      <c r="K16" s="87"/>
      <c r="N16" s="110"/>
    </row>
    <row r="17" spans="2:14" ht="31.5">
      <c r="B17" s="113" t="s">
        <v>99</v>
      </c>
      <c r="C17" s="80">
        <f ca="1">C18/7</f>
        <v>45.285714285714285</v>
      </c>
      <c r="D17" s="80">
        <f ca="1">D18/7</f>
        <v>45.285714285714285</v>
      </c>
      <c r="E17" s="21"/>
      <c r="F17" s="80">
        <f ca="1">F18/7</f>
        <v>47.857142857142854</v>
      </c>
      <c r="G17" s="20"/>
      <c r="K17" s="87"/>
      <c r="N17" s="110"/>
    </row>
    <row r="18" spans="2:14" ht="31.5">
      <c r="B18" s="113" t="s">
        <v>100</v>
      </c>
      <c r="C18" s="81">
        <f ca="1">TODAY()-'📝 Instructions'!F8</f>
        <v>317</v>
      </c>
      <c r="D18" s="81">
        <f ca="1">TODAY()-'📝 Instructions'!F8</f>
        <v>317</v>
      </c>
      <c r="E18" s="21"/>
      <c r="F18" s="81">
        <f ca="1">IF(C10&lt;SUM('📊 Summary'!I11:I12),0,Working!C10-'📊 Summary'!I11-'📊 Summary'!I12)</f>
        <v>335</v>
      </c>
      <c r="G18" s="20"/>
      <c r="K18" s="87"/>
      <c r="N18" s="110"/>
    </row>
    <row r="19" spans="2:14" ht="31.5">
      <c r="B19" s="113" t="s">
        <v>93</v>
      </c>
      <c r="C19" s="15">
        <f ca="1">((('📊 Summary'!$I$8*5)+('📊 Summary'!$I$9*2))/24)*Working!C17</f>
        <v>53.776785714285715</v>
      </c>
      <c r="D19" s="15">
        <f ca="1">((('📊 Summary'!$I$8*5)+('📊 Summary'!$I$9*2))/24)*Working!D17</f>
        <v>53.776785714285715</v>
      </c>
      <c r="E19" s="21"/>
      <c r="F19" s="15">
        <f ca="1">((('📊 Summary'!$I$8*5)+('📊 Summary'!$I$9*2))/24)*Working!F17</f>
        <v>56.830357142857139</v>
      </c>
      <c r="G19" s="20"/>
      <c r="K19" s="87"/>
      <c r="N19" s="110"/>
    </row>
    <row r="20" spans="2:14" ht="47.25">
      <c r="B20" s="115" t="s">
        <v>94</v>
      </c>
      <c r="C20" s="9">
        <f ca="1">C21+C22</f>
        <v>18.485251576346283</v>
      </c>
      <c r="D20" s="9">
        <f>D21+D22</f>
        <v>0</v>
      </c>
      <c r="E20" s="21">
        <f t="shared" ref="E20:E22" ca="1" si="0">IF((D20-C20)/C20&gt;0,"+"&amp;ROUND(((D20-C20)/C20)*100,0)&amp;"%",ROUND(((D20-C20)/C20),2))</f>
        <v>-1</v>
      </c>
      <c r="F20" s="9">
        <f>F21+F22</f>
        <v>38.02013888888888</v>
      </c>
      <c r="G20" s="20" t="str">
        <f t="shared" ref="G20:G22" si="1">IFERROR(IF((F20-D20)/F20&gt;0,"+"&amp;ROUND(((F20-D20)/F20)*100,0)&amp;"%",ROUND(((F20-D20)/F20),2)),"-")</f>
        <v>+100%</v>
      </c>
    </row>
    <row r="21" spans="2:14" ht="31.5">
      <c r="B21" s="116" t="s">
        <v>97</v>
      </c>
      <c r="C21" s="15">
        <f ca="1">((TODAY()-'📝 Instructions'!F8)/('📝 Instructions'!F9-'📝 Instructions'!F8-'📊 Summary'!I11-'📊 Summary'!I12))*'⏱ Input'!T4</f>
        <v>6.836798099863663</v>
      </c>
      <c r="D21" s="15">
        <f>SUMIF(Master_Data[Lectures],"d",Master_Data[Duration (hh:mm)])</f>
        <v>0</v>
      </c>
      <c r="E21" s="21">
        <f t="shared" ca="1" si="0"/>
        <v>-1</v>
      </c>
      <c r="F21" s="15">
        <f>SUMIF(Master_Data[Lectures],"u",Master_Data[Duration (hh:mm)])</f>
        <v>14.061805555555546</v>
      </c>
      <c r="G21" s="20" t="str">
        <f t="shared" si="1"/>
        <v>+100%</v>
      </c>
    </row>
    <row r="22" spans="2:14" ht="47.25">
      <c r="B22" s="116" t="s">
        <v>101</v>
      </c>
      <c r="C22" s="15">
        <f ca="1">C16*('📊 Summary'!$I$10/24)</f>
        <v>11.648453476482619</v>
      </c>
      <c r="D22" s="15">
        <f>D16*('📊 Summary'!$I$10/24)</f>
        <v>0</v>
      </c>
      <c r="E22" s="21">
        <f t="shared" ca="1" si="0"/>
        <v>-1</v>
      </c>
      <c r="F22" s="15">
        <f>F16*('📊 Summary'!$I$10/24)</f>
        <v>23.958333333333336</v>
      </c>
      <c r="G22" s="20" t="str">
        <f t="shared" si="1"/>
        <v>+100%</v>
      </c>
    </row>
    <row r="23" spans="2:14" ht="15.75">
      <c r="B23" s="115" t="s">
        <v>95</v>
      </c>
      <c r="C23" s="15"/>
      <c r="D23" s="15"/>
      <c r="E23" s="21"/>
      <c r="F23" s="15"/>
      <c r="G23" s="20"/>
    </row>
    <row r="24" spans="2:14" ht="31.5">
      <c r="B24" s="115" t="s">
        <v>102</v>
      </c>
      <c r="C24" s="132">
        <f ca="1">C16/C$17</f>
        <v>1.2346625766871167</v>
      </c>
      <c r="D24" s="132">
        <f ca="1">D16/D$17</f>
        <v>0</v>
      </c>
      <c r="E24" s="21">
        <f t="shared" ref="E24:E27" ca="1" si="2">IF((D24-C24)/C24&gt;0,"+"&amp;ROUND(((D24-C24)/C24)*100,0)&amp;"%",ROUND(((D24-C24)/C24),2))</f>
        <v>-1</v>
      </c>
      <c r="F24" s="132">
        <f ca="1">IFERROR(F16/F$17,"-")</f>
        <v>2.4029850746268657</v>
      </c>
      <c r="G24" s="20" t="str">
        <f ca="1">IFERROR(IF((F24-D24)/F24&gt;0,"+"&amp;ROUND(((F24-D24)/F24)*100,0)&amp;"%",ROUND(((F24-D24)/F24),2)),"-")</f>
        <v>+100%</v>
      </c>
      <c r="H24" s="133"/>
    </row>
    <row r="25" spans="2:14" ht="31.5">
      <c r="B25" s="115" t="s">
        <v>98</v>
      </c>
      <c r="C25" s="9">
        <f ca="1">C26+C27</f>
        <v>0.40819167518745736</v>
      </c>
      <c r="D25" s="9">
        <f ca="1">D26+D27</f>
        <v>0</v>
      </c>
      <c r="E25" s="21">
        <f t="shared" ca="1" si="2"/>
        <v>-1</v>
      </c>
      <c r="F25" s="9">
        <f ca="1">IFERROR(F26+F27,"-")</f>
        <v>0.7944506633499171</v>
      </c>
      <c r="G25" s="20" t="str">
        <f t="shared" ref="G25:G27" ca="1" si="3">IFERROR(IF((F25-D25)/F25&gt;0,"+"&amp;ROUND(((F25-D25)/F25)*100,0)&amp;"%",ROUND(((F25-D25)/F25),2)),"-")</f>
        <v>+100%</v>
      </c>
    </row>
    <row r="26" spans="2:14" ht="31.5">
      <c r="B26" s="116" t="s">
        <v>97</v>
      </c>
      <c r="C26" s="15">
        <f ca="1">C21/C$17</f>
        <v>0.15097030504430803</v>
      </c>
      <c r="D26" s="15">
        <f ca="1">D21/D$17</f>
        <v>0</v>
      </c>
      <c r="E26" s="21">
        <f t="shared" ca="1" si="2"/>
        <v>-1</v>
      </c>
      <c r="F26" s="15">
        <f ca="1">IFERROR(F21/F$17,"-")</f>
        <v>0.29382877280265324</v>
      </c>
      <c r="G26" s="20" t="str">
        <f t="shared" ca="1" si="3"/>
        <v>+100%</v>
      </c>
    </row>
    <row r="27" spans="2:14" ht="47.25">
      <c r="B27" s="116" t="s">
        <v>101</v>
      </c>
      <c r="C27" s="15">
        <f ca="1">C22/C$17</f>
        <v>0.25722137014314933</v>
      </c>
      <c r="D27" s="15">
        <f ca="1">D22/D$17</f>
        <v>0</v>
      </c>
      <c r="E27" s="21">
        <f t="shared" ca="1" si="2"/>
        <v>-1</v>
      </c>
      <c r="F27" s="15">
        <f ca="1">IFERROR(F22/F$17,"-")</f>
        <v>0.5006218905472638</v>
      </c>
      <c r="G27" s="20" t="str">
        <f t="shared" ca="1" si="3"/>
        <v>+100%</v>
      </c>
    </row>
    <row r="28" spans="2:14" ht="15.75">
      <c r="B28" s="115" t="s">
        <v>96</v>
      </c>
      <c r="C28" s="15"/>
      <c r="D28" s="15"/>
      <c r="E28" s="21"/>
      <c r="F28" s="15"/>
      <c r="G28" s="20"/>
    </row>
    <row r="29" spans="2:14" ht="31.5">
      <c r="B29" s="115" t="s">
        <v>102</v>
      </c>
      <c r="C29" s="132">
        <f ca="1">C16/C$18</f>
        <v>0.17638036809815952</v>
      </c>
      <c r="D29" s="132">
        <f ca="1">D16/D$18</f>
        <v>0</v>
      </c>
      <c r="E29" s="21">
        <f t="shared" ref="E29:E32" ca="1" si="4">IF((D29-C29)/C29&gt;0,"+"&amp;ROUND(((D29-C29)/C29)*100,0)&amp;"%",ROUND(((D29-C29)/C29),2))</f>
        <v>-1</v>
      </c>
      <c r="F29" s="132">
        <f ca="1">IFERROR(F16/F$18,"-")</f>
        <v>0.34328358208955223</v>
      </c>
      <c r="G29" s="20" t="str">
        <f t="shared" ref="G29:G32" ca="1" si="5">IFERROR(IF((F29-D29)/F29&gt;0,"+"&amp;ROUND(((F29-D29)/F29)*100,0)&amp;"%",ROUND(((F29-D29)/F29),2)),"-")</f>
        <v>+100%</v>
      </c>
    </row>
    <row r="30" spans="2:14" ht="31.5">
      <c r="B30" s="115" t="s">
        <v>98</v>
      </c>
      <c r="C30" s="9">
        <f ca="1">C31+C32</f>
        <v>5.8313096455351043E-2</v>
      </c>
      <c r="D30" s="9">
        <f ca="1">D31+D32</f>
        <v>0</v>
      </c>
      <c r="E30" s="21">
        <f t="shared" ca="1" si="4"/>
        <v>-1</v>
      </c>
      <c r="F30" s="9">
        <f ca="1">IFERROR(F31+F32,"-")</f>
        <v>0.11349295190713099</v>
      </c>
      <c r="G30" s="20" t="str">
        <f t="shared" ca="1" si="5"/>
        <v>+100%</v>
      </c>
    </row>
    <row r="31" spans="2:14" ht="31.5">
      <c r="B31" s="116" t="s">
        <v>97</v>
      </c>
      <c r="C31" s="15">
        <f ca="1">C21/C$18</f>
        <v>2.1567186434901145E-2</v>
      </c>
      <c r="D31" s="15">
        <f ca="1">D21/D$18</f>
        <v>0</v>
      </c>
      <c r="E31" s="21">
        <f t="shared" ca="1" si="4"/>
        <v>-1</v>
      </c>
      <c r="F31" s="15">
        <f ca="1">IFERROR(F21/F$18,"-")</f>
        <v>4.1975538971807599E-2</v>
      </c>
      <c r="G31" s="20" t="str">
        <f t="shared" ca="1" si="5"/>
        <v>+100%</v>
      </c>
    </row>
    <row r="32" spans="2:14" ht="47.25">
      <c r="B32" s="116" t="s">
        <v>101</v>
      </c>
      <c r="C32" s="15">
        <f ca="1">C22/C$18</f>
        <v>3.6745910020449898E-2</v>
      </c>
      <c r="D32" s="15">
        <f ca="1">D22/D$18</f>
        <v>0</v>
      </c>
      <c r="E32" s="21">
        <f t="shared" ca="1" si="4"/>
        <v>-1</v>
      </c>
      <c r="F32" s="15">
        <f ca="1">IFERROR(F22/F$18,"-")</f>
        <v>7.1517412935323391E-2</v>
      </c>
      <c r="G32" s="20" t="str">
        <f t="shared" ca="1" si="5"/>
        <v>+100%</v>
      </c>
    </row>
    <row r="33" spans="2:7" ht="15.75">
      <c r="B33" s="117"/>
      <c r="C33" s="91"/>
      <c r="D33" s="91"/>
      <c r="E33" s="118"/>
      <c r="F33" s="91"/>
      <c r="G33" s="77"/>
    </row>
    <row r="34" spans="2:7" ht="15.75">
      <c r="B34" s="127" t="s">
        <v>87</v>
      </c>
      <c r="C34" s="127"/>
      <c r="D34" s="91"/>
      <c r="E34" s="118"/>
      <c r="F34" s="91"/>
      <c r="G34" s="77"/>
    </row>
    <row r="35" spans="2:7" ht="15.75">
      <c r="B35" s="128" t="s">
        <v>83</v>
      </c>
      <c r="C35" s="91">
        <f ca="1">(C42*((('📊 Summary'!I8*5)/24)/((('📊 Summary'!I8*5)+('📊 Summary'!I9*2))/24)))/5</f>
        <v>6.9688654679817288E-2</v>
      </c>
      <c r="D35" s="91"/>
      <c r="E35" s="118"/>
      <c r="F35" s="91"/>
      <c r="G35" s="77"/>
    </row>
    <row r="36" spans="2:7" ht="15.75">
      <c r="B36" s="128" t="s">
        <v>84</v>
      </c>
      <c r="C36" s="91">
        <f ca="1">(C42*((('📊 Summary'!I9*2)/24)/((('📊 Summary'!I8*5)+('📊 Summary'!I9*2))/24)))/2</f>
        <v>0.22300369497541528</v>
      </c>
      <c r="D36" s="91"/>
      <c r="E36" s="118"/>
      <c r="F36" s="91"/>
      <c r="G36" s="77"/>
    </row>
    <row r="37" spans="2:7" ht="15.75">
      <c r="B37" s="129"/>
      <c r="C37" s="129"/>
      <c r="D37" s="91"/>
      <c r="E37" s="118"/>
      <c r="F37" s="91"/>
      <c r="G37" s="77"/>
    </row>
    <row r="38" spans="2:7" ht="15.75">
      <c r="B38" s="127" t="s">
        <v>85</v>
      </c>
      <c r="C38" s="91"/>
      <c r="D38" s="91"/>
      <c r="E38" s="118"/>
      <c r="F38" s="91"/>
      <c r="G38" s="77"/>
    </row>
    <row r="39" spans="2:7" ht="15.75">
      <c r="B39" s="130" t="s">
        <v>80</v>
      </c>
      <c r="C39" s="91">
        <f>F21</f>
        <v>14.061805555555546</v>
      </c>
      <c r="D39" s="91"/>
      <c r="E39" s="118"/>
      <c r="F39" s="91"/>
      <c r="G39" s="77"/>
    </row>
    <row r="40" spans="2:7" ht="15.75">
      <c r="B40" s="130" t="s">
        <v>40</v>
      </c>
      <c r="C40" s="91">
        <f>F22</f>
        <v>23.958333333333336</v>
      </c>
      <c r="D40" s="91"/>
      <c r="E40" s="118"/>
      <c r="F40" s="91"/>
      <c r="G40" s="77"/>
    </row>
    <row r="41" spans="2:7" ht="15.75">
      <c r="B41" s="128" t="s">
        <v>81</v>
      </c>
      <c r="C41" s="131">
        <f>SUM(C39:C40)</f>
        <v>38.02013888888888</v>
      </c>
      <c r="D41" s="91"/>
      <c r="E41" s="118"/>
      <c r="F41" s="91"/>
      <c r="G41" s="77"/>
    </row>
    <row r="42" spans="2:7" ht="15.75">
      <c r="B42" s="128" t="s">
        <v>86</v>
      </c>
      <c r="C42" s="91">
        <f ca="1">C41/F17</f>
        <v>0.79445066334991699</v>
      </c>
      <c r="D42" s="91"/>
      <c r="E42" s="118"/>
      <c r="F42" s="91"/>
      <c r="G42" s="77"/>
    </row>
    <row r="43" spans="2:7" ht="15.75">
      <c r="B43" s="117"/>
      <c r="C43" s="91"/>
      <c r="D43" s="91"/>
      <c r="E43" s="118"/>
      <c r="F43" s="91"/>
      <c r="G43" s="77"/>
    </row>
    <row r="44" spans="2:7" ht="15.75">
      <c r="B44" s="117"/>
      <c r="C44" s="91"/>
      <c r="D44" s="91"/>
      <c r="E44" s="118"/>
      <c r="F44" s="91"/>
      <c r="G44" s="77"/>
    </row>
    <row r="45" spans="2:7">
      <c r="C45" s="110"/>
      <c r="D45" s="110"/>
    </row>
    <row r="46" spans="2:7">
      <c r="B46" s="119" t="s">
        <v>27</v>
      </c>
      <c r="C46" s="86"/>
      <c r="D46" s="86"/>
      <c r="E46" s="86"/>
    </row>
    <row r="47" spans="2:7">
      <c r="B47" s="86" t="s">
        <v>29</v>
      </c>
      <c r="C47" s="120">
        <f>D47/$D$51</f>
        <v>0</v>
      </c>
      <c r="D47" s="86">
        <f>SUMIFS(Master_Data[No. of Chapters],Master_Data[Lectures],"d",Master_Data[Self Study],"d")</f>
        <v>0</v>
      </c>
      <c r="E47" s="120" t="str">
        <f>IF(C47=0,"",CONCATENATE(B47,", ",ROUND(D47,0)))</f>
        <v/>
      </c>
    </row>
    <row r="48" spans="2:7">
      <c r="B48" s="86" t="s">
        <v>170</v>
      </c>
      <c r="C48" s="120">
        <f t="shared" ref="C48:C51" ca="1" si="6">D48/$D$51</f>
        <v>0</v>
      </c>
      <c r="D48" s="121">
        <f ca="1">IF(C16&lt;D16,D16-C16,0)</f>
        <v>0</v>
      </c>
      <c r="E48" s="120" t="str">
        <f t="shared" ref="E48:E50" ca="1" si="7">IF(C48=0,"",CONCATENATE(B48,", ",ROUND(D48,0)))</f>
        <v/>
      </c>
    </row>
    <row r="49" spans="2:14">
      <c r="B49" s="86" t="s">
        <v>171</v>
      </c>
      <c r="C49" s="120">
        <f t="shared" ca="1" si="6"/>
        <v>0.48619631901840493</v>
      </c>
      <c r="D49" s="121">
        <f ca="1">IF(C16&gt;D16,C16-D16,0)</f>
        <v>55.912576687116569</v>
      </c>
      <c r="E49" s="120" t="str">
        <f t="shared" ca="1" si="7"/>
        <v>Extra Undone, 56</v>
      </c>
    </row>
    <row r="50" spans="2:14">
      <c r="B50" s="86" t="s">
        <v>30</v>
      </c>
      <c r="C50" s="120">
        <f t="shared" ca="1" si="6"/>
        <v>0.51380368098159501</v>
      </c>
      <c r="D50" s="122">
        <f ca="1">D51-D47-D49</f>
        <v>59.087423312883431</v>
      </c>
      <c r="E50" s="120" t="str">
        <f t="shared" ca="1" si="7"/>
        <v>Undone, 59</v>
      </c>
    </row>
    <row r="51" spans="2:14">
      <c r="B51" s="86" t="s">
        <v>7</v>
      </c>
      <c r="C51" s="120">
        <f t="shared" si="6"/>
        <v>1</v>
      </c>
      <c r="D51" s="122">
        <f>'⏱ Input'!V4</f>
        <v>115</v>
      </c>
      <c r="E51" s="120"/>
    </row>
    <row r="53" spans="2:14">
      <c r="B53" s="119" t="s">
        <v>168</v>
      </c>
      <c r="C53" s="86"/>
      <c r="D53" s="86"/>
      <c r="E53" s="86"/>
      <c r="N53" s="123"/>
    </row>
    <row r="54" spans="2:14">
      <c r="B54" s="86" t="s">
        <v>29</v>
      </c>
      <c r="C54" s="120">
        <f>D54/$D$58</f>
        <v>0</v>
      </c>
      <c r="D54" s="135">
        <f>'⏱ Input'!T5</f>
        <v>0</v>
      </c>
      <c r="E54" s="86" t="str">
        <f>IF(C54=0,"",CONCATENATE(B54,", ",TEXT(D54,"[h]")))</f>
        <v/>
      </c>
      <c r="G54" s="123"/>
    </row>
    <row r="55" spans="2:14">
      <c r="B55" s="86" t="s">
        <v>170</v>
      </c>
      <c r="C55" s="120">
        <f t="shared" ref="C55:C58" ca="1" si="8">D55/$D$58</f>
        <v>0</v>
      </c>
      <c r="D55" s="135">
        <f ca="1">IF(C21&lt;D21,D21-C21,0)</f>
        <v>0</v>
      </c>
      <c r="E55" s="120" t="str">
        <f ca="1">IF(C55=0,"",CONCATENATE(B55,", ",TEXT(D55,"[h]")))</f>
        <v/>
      </c>
    </row>
    <row r="56" spans="2:14">
      <c r="B56" s="86" t="s">
        <v>171</v>
      </c>
      <c r="C56" s="120">
        <f t="shared" ca="1" si="8"/>
        <v>0.48619631901840493</v>
      </c>
      <c r="D56" s="135">
        <f ca="1">IF(C21&gt;D21,C21-D21,0)</f>
        <v>6.836798099863663</v>
      </c>
      <c r="E56" s="120" t="str">
        <f ca="1">IF(C56=0,"",CONCATENATE(B56,", ",TEXT(D56,"[h]")))</f>
        <v>Extra Undone, 164</v>
      </c>
    </row>
    <row r="57" spans="2:14">
      <c r="B57" s="86" t="s">
        <v>30</v>
      </c>
      <c r="C57" s="120">
        <f t="shared" ca="1" si="8"/>
        <v>0.51380368098159512</v>
      </c>
      <c r="D57" s="135">
        <f ca="1">D58-D54-D56</f>
        <v>7.2250074556918831</v>
      </c>
      <c r="E57" s="120" t="str">
        <f ca="1">IF(C57=0,"",CONCATENATE(B57,", ",TEXT(D57,"[h]")))</f>
        <v>Undone, 173</v>
      </c>
    </row>
    <row r="58" spans="2:14">
      <c r="B58" s="86" t="s">
        <v>7</v>
      </c>
      <c r="C58" s="120">
        <f t="shared" si="8"/>
        <v>1</v>
      </c>
      <c r="D58" s="135">
        <f>'⏱ Input'!T4</f>
        <v>14.061805555555546</v>
      </c>
      <c r="E58" s="120"/>
    </row>
    <row r="60" spans="2:14">
      <c r="B60" s="119" t="s">
        <v>169</v>
      </c>
      <c r="C60" s="86"/>
      <c r="D60" s="86"/>
      <c r="E60" s="86"/>
    </row>
    <row r="61" spans="2:14">
      <c r="B61" s="86" t="s">
        <v>29</v>
      </c>
      <c r="C61" s="120">
        <f>D61/$D$65</f>
        <v>0</v>
      </c>
      <c r="D61" s="135">
        <f>'⏱ Input'!W5*('📊 Summary'!I10/24)</f>
        <v>0</v>
      </c>
      <c r="E61" s="120" t="str">
        <f>IF(C61=0,"",CONCATENATE(B61,", ",TEXT(D61,"[h]")))</f>
        <v/>
      </c>
    </row>
    <row r="62" spans="2:14">
      <c r="B62" s="86" t="s">
        <v>170</v>
      </c>
      <c r="C62" s="120">
        <f t="shared" ref="C62:C65" ca="1" si="9">D62/$D$65</f>
        <v>0</v>
      </c>
      <c r="D62" s="135">
        <f ca="1">IF(C22&lt;D22,D22-C22,0)</f>
        <v>0</v>
      </c>
      <c r="E62" s="120" t="str">
        <f ca="1">IF(C62=0,"",CONCATENATE(B62,", ",TEXT(D62,"[h]")))</f>
        <v/>
      </c>
    </row>
    <row r="63" spans="2:14">
      <c r="B63" s="86" t="s">
        <v>171</v>
      </c>
      <c r="C63" s="120">
        <f t="shared" ca="1" si="9"/>
        <v>0.48619631901840488</v>
      </c>
      <c r="D63" s="135">
        <f ca="1">IF(C22&gt;D22,C22-D22,0)</f>
        <v>11.648453476482619</v>
      </c>
      <c r="E63" s="120" t="str">
        <f ca="1">IF(C63=0,"",CONCATENATE(B63,", ",TEXT(D63,"[h]")))</f>
        <v>Extra Undone, 279</v>
      </c>
    </row>
    <row r="64" spans="2:14">
      <c r="B64" s="86" t="s">
        <v>30</v>
      </c>
      <c r="C64" s="120">
        <f t="shared" ca="1" si="9"/>
        <v>0.51380368098159512</v>
      </c>
      <c r="D64" s="135">
        <f ca="1">D65-D61-D63</f>
        <v>12.309879856850717</v>
      </c>
      <c r="E64" s="120" t="str">
        <f ca="1">IF(C64=0,"",CONCATENATE(B64,", ",TEXT(D64,"[h]")))</f>
        <v>Undone, 295</v>
      </c>
    </row>
    <row r="65" spans="2:5">
      <c r="B65" s="86" t="s">
        <v>7</v>
      </c>
      <c r="C65" s="120">
        <f t="shared" si="9"/>
        <v>1</v>
      </c>
      <c r="D65" s="135">
        <f>'⏱ Input'!V4*('📊 Summary'!I10/24)</f>
        <v>23.958333333333336</v>
      </c>
      <c r="E65" s="120"/>
    </row>
    <row r="66" spans="2:5">
      <c r="C66" s="133"/>
      <c r="D66" s="134"/>
      <c r="E66" s="133"/>
    </row>
    <row r="67" spans="2:5">
      <c r="B67" s="119" t="s">
        <v>180</v>
      </c>
      <c r="C67" s="86"/>
      <c r="D67" s="86"/>
      <c r="E67" s="86"/>
    </row>
    <row r="68" spans="2:5">
      <c r="B68" s="86" t="s">
        <v>29</v>
      </c>
      <c r="C68" s="120">
        <f>D68/$D$72</f>
        <v>0</v>
      </c>
      <c r="D68" s="135">
        <f>D20</f>
        <v>0</v>
      </c>
      <c r="E68" s="120" t="str">
        <f>IF(C68=0,"",CONCATENATE(B68,", ",TEXT(D68,"[h]")))</f>
        <v/>
      </c>
    </row>
    <row r="69" spans="2:5">
      <c r="B69" s="86" t="s">
        <v>170</v>
      </c>
      <c r="C69" s="120">
        <f t="shared" ref="C69:C72" ca="1" si="10">D69/$D$72</f>
        <v>0</v>
      </c>
      <c r="D69" s="135">
        <f ca="1">IF(C20&lt;D20,D20-C20,0)</f>
        <v>0</v>
      </c>
      <c r="E69" s="120" t="str">
        <f ca="1">IF(C69=0,"",CONCATENATE(B69,", ",TEXT(D69,"[h]")))</f>
        <v/>
      </c>
    </row>
    <row r="70" spans="2:5">
      <c r="B70" s="86" t="s">
        <v>171</v>
      </c>
      <c r="C70" s="120">
        <f t="shared" ca="1" si="10"/>
        <v>0.48619631901840493</v>
      </c>
      <c r="D70" s="135">
        <f ca="1">IF(C20&gt;D20,C20-D20,0)</f>
        <v>18.485251576346283</v>
      </c>
      <c r="E70" s="120" t="str">
        <f ca="1">IF(C70=0,"",CONCATENATE(B70,", ",TEXT(D70,"[h]")))</f>
        <v>Extra Undone, 443</v>
      </c>
    </row>
    <row r="71" spans="2:5">
      <c r="B71" s="86" t="s">
        <v>30</v>
      </c>
      <c r="C71" s="120">
        <f t="shared" ca="1" si="10"/>
        <v>0.51380368098159501</v>
      </c>
      <c r="D71" s="135">
        <f ca="1">D72-D68-D70</f>
        <v>19.534887312542597</v>
      </c>
      <c r="E71" s="120" t="str">
        <f ca="1">IF(C71=0,"",CONCATENATE(B71,", ",TEXT(D71,"[h]")))</f>
        <v>Undone, 468</v>
      </c>
    </row>
    <row r="72" spans="2:5">
      <c r="B72" s="86" t="s">
        <v>7</v>
      </c>
      <c r="C72" s="120">
        <f t="shared" si="10"/>
        <v>1</v>
      </c>
      <c r="D72" s="135">
        <f t="shared" ref="D72" si="11">D58+D65</f>
        <v>38.02013888888888</v>
      </c>
      <c r="E72" s="120"/>
    </row>
    <row r="73" spans="2:5">
      <c r="C73" s="133"/>
      <c r="D73" s="134"/>
      <c r="E73" s="133"/>
    </row>
    <row r="74" spans="2:5">
      <c r="C74" s="133"/>
      <c r="D74" s="134"/>
      <c r="E74" s="133"/>
    </row>
    <row r="75" spans="2:5">
      <c r="C75" s="133"/>
      <c r="D75" s="134"/>
      <c r="E75" s="133"/>
    </row>
    <row r="77" spans="2:5" ht="15">
      <c r="B77" s="124" t="s">
        <v>163</v>
      </c>
      <c r="C77" s="87" t="s">
        <v>279</v>
      </c>
      <c r="D77"/>
    </row>
    <row r="78" spans="2:5" ht="15">
      <c r="B78" s="125" t="s">
        <v>6</v>
      </c>
      <c r="C78" s="327">
        <v>116</v>
      </c>
      <c r="D78"/>
    </row>
    <row r="79" spans="2:5" ht="15">
      <c r="B79" s="125" t="s">
        <v>164</v>
      </c>
      <c r="C79" s="327">
        <v>116</v>
      </c>
      <c r="D79"/>
    </row>
    <row r="80" spans="2:5" ht="15">
      <c r="B80"/>
      <c r="C80"/>
    </row>
    <row r="82" spans="2:4">
      <c r="B82" s="124" t="s">
        <v>163</v>
      </c>
      <c r="C82" s="87" t="s">
        <v>279</v>
      </c>
    </row>
    <row r="83" spans="2:4">
      <c r="B83" s="125" t="s">
        <v>6</v>
      </c>
      <c r="C83" s="327">
        <v>116</v>
      </c>
    </row>
    <row r="84" spans="2:4">
      <c r="B84" s="125" t="s">
        <v>164</v>
      </c>
      <c r="C84" s="327">
        <v>116</v>
      </c>
    </row>
    <row r="85" spans="2:4" ht="15">
      <c r="B85"/>
      <c r="C85"/>
    </row>
    <row r="87" spans="2:4">
      <c r="B87" s="124" t="s">
        <v>163</v>
      </c>
      <c r="C87" s="87" t="s">
        <v>279</v>
      </c>
    </row>
    <row r="88" spans="2:4">
      <c r="B88" s="125" t="s">
        <v>6</v>
      </c>
      <c r="C88" s="327">
        <v>116</v>
      </c>
    </row>
    <row r="89" spans="2:4">
      <c r="B89" s="125" t="s">
        <v>164</v>
      </c>
      <c r="C89" s="327">
        <v>116</v>
      </c>
    </row>
    <row r="90" spans="2:4" ht="15">
      <c r="B90"/>
      <c r="C90"/>
    </row>
    <row r="92" spans="2:4" ht="15">
      <c r="B92" s="124" t="s">
        <v>163</v>
      </c>
      <c r="C92" s="87" t="s">
        <v>279</v>
      </c>
      <c r="D92"/>
    </row>
    <row r="93" spans="2:4" ht="15">
      <c r="B93" s="125" t="s">
        <v>6</v>
      </c>
      <c r="C93" s="327">
        <v>116</v>
      </c>
      <c r="D93"/>
    </row>
    <row r="94" spans="2:4" ht="15">
      <c r="B94" s="125" t="s">
        <v>164</v>
      </c>
      <c r="C94" s="327">
        <v>116</v>
      </c>
      <c r="D94"/>
    </row>
    <row r="95" spans="2:4" ht="15">
      <c r="B95"/>
      <c r="C95"/>
      <c r="D95"/>
    </row>
    <row r="97" spans="2:3">
      <c r="B97" s="124" t="s">
        <v>163</v>
      </c>
      <c r="C97" s="87" t="s">
        <v>279</v>
      </c>
    </row>
    <row r="98" spans="2:3">
      <c r="B98" s="125" t="s">
        <v>6</v>
      </c>
      <c r="C98" s="327">
        <v>116</v>
      </c>
    </row>
    <row r="99" spans="2:3">
      <c r="B99" s="125" t="s">
        <v>164</v>
      </c>
      <c r="C99" s="327">
        <v>116</v>
      </c>
    </row>
    <row r="100" spans="2:3" ht="15">
      <c r="B100"/>
      <c r="C100"/>
    </row>
  </sheetData>
  <mergeCells count="2">
    <mergeCell ref="B14:B15"/>
    <mergeCell ref="C14:E14"/>
  </mergeCells>
  <conditionalFormatting sqref="E16:E44">
    <cfRule type="cellIs" dxfId="3" priority="19" operator="lessThan">
      <formula>0</formula>
    </cfRule>
    <cfRule type="cellIs" dxfId="2" priority="20" operator="greaterThanOrEqual">
      <formula>0.0001</formula>
    </cfRule>
  </conditionalFormatting>
  <conditionalFormatting sqref="G16:G44">
    <cfRule type="cellIs" dxfId="1" priority="1" operator="lessThan">
      <formula>0</formula>
    </cfRule>
    <cfRule type="cellIs" dxfId="0" priority="2" operator="greaterThanOrEqual">
      <formula>0.00001</formula>
    </cfRule>
  </conditionalFormatting>
  <pageMargins left="0.7" right="0.7" top="0.75" bottom="0.75" header="0.3" footer="0.3"/>
  <pageSetup paperSize="9" orientation="portrait" r:id="rId6"/>
  <ignoredErrors>
    <ignoredError sqref="J4:J7" calculatedColumn="1"/>
    <ignoredError sqref="F18" formulaRange="1"/>
  </ignoredErrors>
  <drawing r:id="rId7"/>
  <legacyDrawing r:id="rId8"/>
  <tableParts count="1">
    <tablePart r:id="rId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 Instructions</vt:lpstr>
      <vt:lpstr>⏱ Input</vt:lpstr>
      <vt:lpstr>📊 Progress</vt:lpstr>
      <vt:lpstr>📊 Summary</vt:lpstr>
      <vt:lpstr>'📊 Progress'!Print_Area</vt:lpstr>
      <vt:lpstr>'📊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user</cp:lastModifiedBy>
  <cp:lastPrinted>2022-06-28T06:51:26Z</cp:lastPrinted>
  <dcterms:created xsi:type="dcterms:W3CDTF">2017-08-10T18:49:10Z</dcterms:created>
  <dcterms:modified xsi:type="dcterms:W3CDTF">2024-11-23T05:44:40Z</dcterms:modified>
</cp:coreProperties>
</file>